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hiva\Desktop\format\"/>
    </mc:Choice>
  </mc:AlternateContent>
  <xr:revisionPtr revIDLastSave="0" documentId="13_ncr:1_{DFC0F0DD-B8CB-405C-B5AD-ED898C5FDDD7}" xr6:coauthVersionLast="47" xr6:coauthVersionMax="47" xr10:uidLastSave="{00000000-0000-0000-0000-000000000000}"/>
  <bookViews>
    <workbookView xWindow="-120" yWindow="-120" windowWidth="20730" windowHeight="11040" tabRatio="862" firstSheet="3" activeTab="11" xr2:uid="{C6942960-A761-4B9A-BB6A-CBF1A001C051}"/>
  </bookViews>
  <sheets>
    <sheet name="Student_Record 1" sheetId="2" r:id="rId1"/>
    <sheet name="निर्देश" sheetId="9" r:id="rId2"/>
    <sheet name="लिफाफा प्रिन्ट" sheetId="15" r:id="rId3"/>
    <sheet name="STUDENTDATA" sheetId="3" r:id="rId4"/>
    <sheet name="LIFAFA2" sheetId="1" r:id="rId5"/>
    <sheet name="CLASS1_5" sheetId="8" r:id="rId6"/>
    <sheet name="LIFAFA3" sheetId="7" r:id="rId7"/>
    <sheet name="LIFAFA_1" sheetId="11" r:id="rId8"/>
    <sheet name="LIFAFA_5" sheetId="10" r:id="rId9"/>
    <sheet name="SUBJECTWISE9_10" sheetId="12" r:id="rId10"/>
    <sheet name="SUBJECTWISE11_12" sheetId="13" r:id="rId11"/>
    <sheet name="SUBJECTWISE6_8" sheetId="14" r:id="rId12"/>
  </sheets>
  <definedNames>
    <definedName name="_xlpm.A" hidden="1" xlm="1">#NAME?</definedName>
    <definedName name="_xlpm.C" hidden="1" xlm="1">#NAME?</definedName>
    <definedName name="_xlpm.E" hidden="1" xlm="1">#NAME?</definedName>
    <definedName name="_xlpm.G" hidden="1" xlm="1">#NAME?</definedName>
    <definedName name="_xlpm.I" hidden="1" xlm="1">#NAME?</definedName>
    <definedName name="_xlpm.O" hidden="1" xlm="1">#NAME?</definedName>
    <definedName name="List1">STUDENTDATA!$Z$2:$Z$7</definedName>
    <definedName name="List2">STUDENTDATA!$Z$10:$Z$14</definedName>
    <definedName name="_xlnm.Print_Area" localSheetId="4">LIFAFA2!$A$1:$AD$34</definedName>
    <definedName name="_xlnm.Print_Area" localSheetId="6">LIFAFA3!$A$1:$AR$35</definedName>
    <definedName name="_xlnm.Print_Area" localSheetId="10">SUBJECTWISE11_12!$A$1:$AK$39</definedName>
    <definedName name="_xlnm.Print_Area" localSheetId="9">SUBJECTWISE9_10!$A$1:$AK$23</definedName>
    <definedName name="_xlnm.Print_Titles" localSheetId="11">SUBJECTWISE6_8!$1:$1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6" i="12" l="1"/>
  <c r="A14" i="12"/>
  <c r="A12" i="12"/>
  <c r="A10" i="12"/>
  <c r="A8" i="12"/>
  <c r="A6" i="12"/>
  <c r="Q1" i="3"/>
  <c r="A14" i="13" s="1"/>
  <c r="P1" i="3"/>
  <c r="O1" i="3"/>
  <c r="A10" i="13" s="1"/>
  <c r="N1" i="3"/>
  <c r="M1" i="3"/>
  <c r="A50" i="14" s="1"/>
  <c r="L1" i="3"/>
  <c r="A30" i="14" s="1"/>
  <c r="K1" i="3"/>
  <c r="A10" i="14" s="1"/>
  <c r="A52" i="14"/>
  <c r="I1" i="3"/>
  <c r="A24" i="14" s="1"/>
  <c r="J1" i="3"/>
  <c r="A8" i="14" s="1"/>
  <c r="A1" i="1"/>
  <c r="J5" i="11"/>
  <c r="J6" i="11"/>
  <c r="J7" i="11"/>
  <c r="J8" i="11"/>
  <c r="J9" i="11"/>
  <c r="J10" i="11"/>
  <c r="J11" i="11"/>
  <c r="J12" i="11"/>
  <c r="J13" i="11"/>
  <c r="J14" i="11"/>
  <c r="J15" i="11"/>
  <c r="J16" i="11"/>
  <c r="J17" i="11"/>
  <c r="J18" i="11"/>
  <c r="J19" i="11"/>
  <c r="J20" i="11"/>
  <c r="J21" i="11"/>
  <c r="J22" i="11"/>
  <c r="J23" i="11"/>
  <c r="J4" i="11"/>
  <c r="A12" i="13"/>
  <c r="A169" i="13" a="1"/>
  <c r="A169" i="13" s="1"/>
  <c r="A168" i="13" a="1"/>
  <c r="A168" i="13" s="1"/>
  <c r="A167" i="13" a="1"/>
  <c r="A167" i="13" s="1"/>
  <c r="A166" i="13" a="1"/>
  <c r="A166" i="13" s="1"/>
  <c r="A165" i="13" a="1"/>
  <c r="A165" i="13" s="1"/>
  <c r="A164" i="13" a="1"/>
  <c r="A164" i="13" s="1"/>
  <c r="A163" i="13" a="1"/>
  <c r="A163" i="13" s="1"/>
  <c r="A162" i="13" a="1"/>
  <c r="A162" i="13" s="1"/>
  <c r="A161" i="13" a="1"/>
  <c r="A161" i="13" s="1"/>
  <c r="A160" i="13" a="1"/>
  <c r="A160" i="13" s="1"/>
  <c r="A159" i="13" a="1"/>
  <c r="A159" i="13" s="1"/>
  <c r="A158" i="13" a="1"/>
  <c r="A158" i="13" s="1"/>
  <c r="A157" i="13" a="1"/>
  <c r="A157" i="13" s="1"/>
  <c r="A156" i="13" a="1"/>
  <c r="A156" i="13" s="1"/>
  <c r="A155" i="13" a="1"/>
  <c r="A155" i="13" s="1"/>
  <c r="A154" i="13" a="1"/>
  <c r="A154" i="13" s="1"/>
  <c r="A153" i="13" a="1"/>
  <c r="A153" i="13" s="1"/>
  <c r="A152" i="13" a="1"/>
  <c r="A152" i="13" s="1"/>
  <c r="A151" i="13" a="1"/>
  <c r="A151" i="13" s="1"/>
  <c r="A150" i="13" a="1"/>
  <c r="A150" i="13" s="1"/>
  <c r="A149" i="13" a="1"/>
  <c r="A149" i="13" s="1"/>
  <c r="A148" i="13" a="1"/>
  <c r="A148" i="13" s="1"/>
  <c r="A147" i="13" a="1"/>
  <c r="A147" i="13" s="1"/>
  <c r="A146" i="13" a="1"/>
  <c r="A146" i="13" s="1"/>
  <c r="A145" i="13" a="1"/>
  <c r="A145" i="13" s="1"/>
  <c r="A144" i="13" a="1"/>
  <c r="A144" i="13" s="1"/>
  <c r="A143" i="13" a="1"/>
  <c r="A143" i="13" s="1"/>
  <c r="A142" i="13" a="1"/>
  <c r="A142" i="13" s="1"/>
  <c r="A141" i="13" a="1"/>
  <c r="A141" i="13" s="1"/>
  <c r="A140" i="13" a="1"/>
  <c r="A140" i="13" s="1"/>
  <c r="A139" i="13" a="1"/>
  <c r="A139" i="13" s="1"/>
  <c r="A138" i="13" a="1"/>
  <c r="A138" i="13" s="1"/>
  <c r="A137" i="13" a="1"/>
  <c r="A137" i="13" s="1"/>
  <c r="A136" i="13" a="1"/>
  <c r="A136" i="13" s="1"/>
  <c r="A135" i="13" a="1"/>
  <c r="A135" i="13" s="1"/>
  <c r="A134" i="13" a="1"/>
  <c r="A134" i="13" s="1"/>
  <c r="A133" i="13" a="1"/>
  <c r="A133" i="13" s="1"/>
  <c r="A132" i="13" a="1"/>
  <c r="A132" i="13" s="1"/>
  <c r="A131" i="13" a="1"/>
  <c r="A131" i="13" s="1"/>
  <c r="A130" i="13" a="1"/>
  <c r="A130" i="13" s="1"/>
  <c r="A129" i="13" a="1"/>
  <c r="A129" i="13" s="1"/>
  <c r="A128" i="13" a="1"/>
  <c r="A128" i="13" s="1"/>
  <c r="A127" i="13" a="1"/>
  <c r="A127" i="13" s="1"/>
  <c r="A126" i="13" a="1"/>
  <c r="A126" i="13" s="1"/>
  <c r="A125" i="13" a="1"/>
  <c r="A125" i="13" s="1"/>
  <c r="A124" i="13" a="1"/>
  <c r="A124" i="13" s="1"/>
  <c r="A123" i="13" a="1"/>
  <c r="A123" i="13" s="1"/>
  <c r="A122" i="13" a="1"/>
  <c r="A122" i="13" s="1"/>
  <c r="A121" i="13" a="1"/>
  <c r="A121" i="13" s="1"/>
  <c r="A120" i="13" a="1"/>
  <c r="A120" i="13" s="1"/>
  <c r="A119" i="13" a="1"/>
  <c r="A119" i="13" s="1"/>
  <c r="A118" i="13" a="1"/>
  <c r="A118" i="13" s="1"/>
  <c r="A117" i="13" a="1"/>
  <c r="A117" i="13" s="1"/>
  <c r="A116" i="13" a="1"/>
  <c r="A116" i="13" s="1"/>
  <c r="A115" i="13" a="1"/>
  <c r="A115" i="13" s="1"/>
  <c r="A114" i="13" a="1"/>
  <c r="A114" i="13" s="1"/>
  <c r="A113" i="13" a="1"/>
  <c r="A113" i="13" s="1"/>
  <c r="A112" i="13" a="1"/>
  <c r="A112" i="13" s="1"/>
  <c r="A111" i="13" a="1"/>
  <c r="A111" i="13" s="1"/>
  <c r="A110" i="13" a="1"/>
  <c r="A110" i="13" s="1"/>
  <c r="A109" i="13" a="1"/>
  <c r="A109" i="13" s="1"/>
  <c r="A108" i="13" a="1"/>
  <c r="A108" i="13" s="1"/>
  <c r="A107" i="13" a="1"/>
  <c r="A107" i="13" s="1"/>
  <c r="A106" i="13" a="1"/>
  <c r="A106" i="13" s="1"/>
  <c r="A105" i="13" a="1"/>
  <c r="A105" i="13" s="1"/>
  <c r="A104" i="13" a="1"/>
  <c r="A104" i="13" s="1"/>
  <c r="A103" i="13" a="1"/>
  <c r="A103" i="13" s="1"/>
  <c r="A102" i="13" a="1"/>
  <c r="A102" i="13" s="1"/>
  <c r="A101" i="13" a="1"/>
  <c r="A101" i="13" s="1"/>
  <c r="A100" i="13" a="1"/>
  <c r="A100" i="13" s="1"/>
  <c r="A99" i="13" a="1"/>
  <c r="A99" i="13" s="1"/>
  <c r="A98" i="13" a="1"/>
  <c r="A98" i="13" s="1"/>
  <c r="A97" i="13" a="1"/>
  <c r="A97" i="13" s="1"/>
  <c r="A96" i="13" a="1"/>
  <c r="A96" i="13" s="1"/>
  <c r="A95" i="13" a="1"/>
  <c r="A95" i="13" s="1"/>
  <c r="A94" i="13" a="1"/>
  <c r="A94" i="13" s="1"/>
  <c r="A93" i="13" a="1"/>
  <c r="A93" i="13" s="1"/>
  <c r="A92" i="13" a="1"/>
  <c r="A92" i="13" s="1"/>
  <c r="A91" i="13" a="1"/>
  <c r="A91" i="13" s="1"/>
  <c r="A90" i="13" a="1"/>
  <c r="A90" i="13" s="1"/>
  <c r="A89" i="13" a="1"/>
  <c r="A89" i="13" s="1"/>
  <c r="A88" i="13" a="1"/>
  <c r="A88" i="13" s="1"/>
  <c r="A87" i="13" a="1"/>
  <c r="A87" i="13" s="1"/>
  <c r="A86" i="13" a="1"/>
  <c r="A86" i="13" s="1"/>
  <c r="A85" i="13" a="1"/>
  <c r="A85" i="13" s="1"/>
  <c r="A84" i="13" a="1"/>
  <c r="A84" i="13" s="1"/>
  <c r="A83" i="13" a="1"/>
  <c r="A83" i="13" s="1"/>
  <c r="A82" i="13" a="1"/>
  <c r="A82" i="13" s="1"/>
  <c r="A81" i="13" a="1"/>
  <c r="A81" i="13" s="1"/>
  <c r="A80" i="13" a="1"/>
  <c r="A80" i="13" s="1"/>
  <c r="A79" i="13" a="1"/>
  <c r="A79" i="13" s="1"/>
  <c r="A78" i="13" a="1"/>
  <c r="A78" i="13" s="1"/>
  <c r="A77" i="13" a="1"/>
  <c r="A77" i="13" s="1"/>
  <c r="A76" i="13" a="1"/>
  <c r="A76" i="13" s="1"/>
  <c r="A75" i="13" a="1"/>
  <c r="A75" i="13" s="1"/>
  <c r="A74" i="13" a="1"/>
  <c r="A74" i="13" s="1"/>
  <c r="A73" i="13" a="1"/>
  <c r="A73" i="13" s="1"/>
  <c r="A72" i="13" a="1"/>
  <c r="A72" i="13" s="1"/>
  <c r="A71" i="13" a="1"/>
  <c r="A71" i="13" s="1"/>
  <c r="A70" i="13" a="1"/>
  <c r="A70" i="13" s="1"/>
  <c r="A69" i="13" a="1"/>
  <c r="A69" i="13" s="1"/>
  <c r="A68" i="13" a="1"/>
  <c r="A68" i="13" s="1"/>
  <c r="A67" i="13" a="1"/>
  <c r="A67" i="13" s="1"/>
  <c r="A66" i="13" a="1"/>
  <c r="A66" i="13" s="1"/>
  <c r="A65" i="13" a="1"/>
  <c r="A65" i="13" s="1"/>
  <c r="A64" i="13" a="1"/>
  <c r="A64" i="13" s="1"/>
  <c r="A63" i="13" a="1"/>
  <c r="A63" i="13" s="1"/>
  <c r="A62" i="13" a="1"/>
  <c r="A62" i="13" s="1"/>
  <c r="A61" i="13" a="1"/>
  <c r="A61" i="13" s="1"/>
  <c r="A60" i="13" a="1"/>
  <c r="A60" i="13" s="1"/>
  <c r="A59" i="13" a="1"/>
  <c r="A59" i="13" s="1"/>
  <c r="A58" i="13" a="1"/>
  <c r="A58" i="13" s="1"/>
  <c r="A57" i="13" a="1"/>
  <c r="A57" i="13" s="1"/>
  <c r="A56" i="13" a="1"/>
  <c r="A56" i="13" s="1"/>
  <c r="A55" i="13" a="1"/>
  <c r="A55" i="13" s="1"/>
  <c r="A54" i="13" a="1"/>
  <c r="A54" i="13" s="1"/>
  <c r="A53" i="13" a="1"/>
  <c r="A53" i="13" s="1"/>
  <c r="A52" i="13" a="1"/>
  <c r="A52" i="13" s="1"/>
  <c r="A51" i="13" a="1"/>
  <c r="A51" i="13" s="1"/>
  <c r="A50" i="13" a="1"/>
  <c r="A50" i="13" s="1"/>
  <c r="A49" i="13" a="1"/>
  <c r="A49" i="13" s="1"/>
  <c r="A48" i="13" a="1"/>
  <c r="A48" i="13" s="1"/>
  <c r="A47" i="13" a="1"/>
  <c r="A47" i="13" s="1"/>
  <c r="A46" i="13" a="1"/>
  <c r="A46" i="13" s="1"/>
  <c r="A45" i="13" a="1"/>
  <c r="A45" i="13" s="1"/>
  <c r="A44" i="13" a="1"/>
  <c r="A44" i="13" s="1"/>
  <c r="A43" i="13" a="1"/>
  <c r="A43" i="13" s="1"/>
  <c r="A42" i="13" a="1"/>
  <c r="A42" i="13" s="1"/>
  <c r="A41" i="13" a="1"/>
  <c r="A41" i="13" s="1"/>
  <c r="A40" i="13" a="1"/>
  <c r="A40" i="13" s="1"/>
  <c r="A39" i="13" a="1"/>
  <c r="A39" i="13" s="1"/>
  <c r="A38" i="13" a="1"/>
  <c r="A38" i="13" s="1"/>
  <c r="A37" i="13" a="1"/>
  <c r="A37" i="13" s="1"/>
  <c r="A36" i="13" a="1"/>
  <c r="A36" i="13" s="1"/>
  <c r="A35" i="13" a="1"/>
  <c r="A35" i="13" s="1"/>
  <c r="A34" i="13" a="1"/>
  <c r="A34" i="13" s="1"/>
  <c r="A33" i="13" a="1"/>
  <c r="A33" i="13" s="1"/>
  <c r="A32" i="13" a="1"/>
  <c r="A32" i="13" s="1"/>
  <c r="A31" i="13" a="1"/>
  <c r="A31" i="13" s="1"/>
  <c r="A30" i="13" a="1"/>
  <c r="A30" i="13" s="1"/>
  <c r="A29" i="13" a="1"/>
  <c r="A29" i="13" s="1"/>
  <c r="A28" i="13" a="1"/>
  <c r="A28" i="13" s="1"/>
  <c r="A27" i="13" a="1"/>
  <c r="A27" i="13" s="1"/>
  <c r="A26" i="13" a="1"/>
  <c r="A26" i="13" s="1"/>
  <c r="A25" i="13" a="1"/>
  <c r="A25" i="13" s="1"/>
  <c r="A24" i="13" a="1"/>
  <c r="A24" i="13" s="1"/>
  <c r="A23" i="13" a="1"/>
  <c r="A23" i="13" s="1"/>
  <c r="A22" i="13" a="1"/>
  <c r="A22" i="13" s="1"/>
  <c r="A21" i="13" a="1"/>
  <c r="A21" i="13" s="1"/>
  <c r="A20" i="13" a="1"/>
  <c r="A20" i="13" s="1"/>
  <c r="A19" i="13" a="1"/>
  <c r="A19" i="13" s="1"/>
  <c r="A18" i="13" a="1"/>
  <c r="A18" i="13" s="1"/>
  <c r="A17" i="13" a="1"/>
  <c r="A17" i="13" s="1"/>
  <c r="A16" i="13" a="1"/>
  <c r="A16" i="13" s="1"/>
  <c r="A18" i="12" a="1"/>
  <c r="A18" i="12" s="1"/>
  <c r="A19" i="12" a="1"/>
  <c r="A19" i="12" s="1"/>
  <c r="A20" i="12" a="1"/>
  <c r="A20" i="12" s="1"/>
  <c r="A21" i="12" a="1"/>
  <c r="A21" i="12" s="1"/>
  <c r="A22" i="12" a="1"/>
  <c r="A22" i="12" s="1"/>
  <c r="A23" i="12" a="1"/>
  <c r="A23" i="12" s="1"/>
  <c r="A24" i="12" a="1"/>
  <c r="A24" i="12" s="1"/>
  <c r="A25" i="12" a="1"/>
  <c r="A25" i="12" s="1"/>
  <c r="A26" i="12" a="1"/>
  <c r="A26" i="12" s="1"/>
  <c r="A27" i="12" a="1"/>
  <c r="A27" i="12" s="1"/>
  <c r="A28" i="12" a="1"/>
  <c r="A28" i="12" s="1"/>
  <c r="A29" i="12" a="1"/>
  <c r="A29" i="12" s="1"/>
  <c r="A30" i="12" a="1"/>
  <c r="A30" i="12" s="1"/>
  <c r="A31" i="12" a="1"/>
  <c r="A31" i="12" s="1"/>
  <c r="A32" i="12" a="1"/>
  <c r="A32" i="12" s="1"/>
  <c r="A33" i="12" a="1"/>
  <c r="A33" i="12" s="1"/>
  <c r="A34" i="12" a="1"/>
  <c r="A34" i="12" s="1"/>
  <c r="A35" i="12" a="1"/>
  <c r="A35" i="12" s="1"/>
  <c r="A36" i="12" a="1"/>
  <c r="A36" i="12" s="1"/>
  <c r="A37" i="12" a="1"/>
  <c r="A37" i="12" s="1"/>
  <c r="A38" i="12" a="1"/>
  <c r="A38" i="12" s="1"/>
  <c r="A39" i="12" a="1"/>
  <c r="A39" i="12" s="1"/>
  <c r="A40" i="12" a="1"/>
  <c r="A40" i="12" s="1"/>
  <c r="A41" i="12" a="1"/>
  <c r="A41" i="12" s="1"/>
  <c r="A42" i="12" a="1"/>
  <c r="A42" i="12" s="1"/>
  <c r="A43" i="12" a="1"/>
  <c r="A43" i="12" s="1"/>
  <c r="A44" i="12" a="1"/>
  <c r="A44" i="12" s="1"/>
  <c r="A45" i="12" a="1"/>
  <c r="A45" i="12" s="1"/>
  <c r="A46" i="12" a="1"/>
  <c r="A46" i="12" s="1"/>
  <c r="A47" i="12" a="1"/>
  <c r="A47" i="12" s="1"/>
  <c r="A48" i="12" a="1"/>
  <c r="A48" i="12" s="1"/>
  <c r="A49" i="12" a="1"/>
  <c r="A49" i="12" s="1"/>
  <c r="A50" i="12" a="1"/>
  <c r="A50" i="12" s="1"/>
  <c r="A51" i="12" a="1"/>
  <c r="A51" i="12" s="1"/>
  <c r="A52" i="12" a="1"/>
  <c r="A52" i="12" s="1"/>
  <c r="A53" i="12" a="1"/>
  <c r="A53" i="12" s="1"/>
  <c r="A54" i="12" a="1"/>
  <c r="A54" i="12" s="1"/>
  <c r="A55" i="12" a="1"/>
  <c r="A55" i="12" s="1"/>
  <c r="A56" i="12" a="1"/>
  <c r="A56" i="12" s="1"/>
  <c r="A57" i="12" a="1"/>
  <c r="A57" i="12" s="1"/>
  <c r="A58" i="12" a="1"/>
  <c r="A58" i="12" s="1"/>
  <c r="A59" i="12" a="1"/>
  <c r="A59" i="12" s="1"/>
  <c r="A60" i="12" a="1"/>
  <c r="A60" i="12" s="1"/>
  <c r="A61" i="12" a="1"/>
  <c r="A61" i="12" s="1"/>
  <c r="A62" i="12" a="1"/>
  <c r="A62" i="12" s="1"/>
  <c r="A63" i="12" a="1"/>
  <c r="A63" i="12" s="1"/>
  <c r="A64" i="12" a="1"/>
  <c r="A64" i="12" s="1"/>
  <c r="A65" i="12" a="1"/>
  <c r="A65" i="12" s="1"/>
  <c r="A66" i="12" a="1"/>
  <c r="A66" i="12" s="1"/>
  <c r="A67" i="12" a="1"/>
  <c r="A67" i="12" s="1"/>
  <c r="A68" i="12" a="1"/>
  <c r="A68" i="12" s="1"/>
  <c r="A69" i="12" a="1"/>
  <c r="A69" i="12" s="1"/>
  <c r="A70" i="12" a="1"/>
  <c r="A70" i="12" s="1"/>
  <c r="A71" i="12" a="1"/>
  <c r="A71" i="12" s="1"/>
  <c r="A72" i="12" a="1"/>
  <c r="A72" i="12" s="1"/>
  <c r="A73" i="12" a="1"/>
  <c r="A73" i="12" s="1"/>
  <c r="A74" i="12" a="1"/>
  <c r="A74" i="12" s="1"/>
  <c r="A75" i="12" a="1"/>
  <c r="A75" i="12" s="1"/>
  <c r="A76" i="12" a="1"/>
  <c r="A76" i="12" s="1"/>
  <c r="A77" i="12" a="1"/>
  <c r="A77" i="12" s="1"/>
  <c r="A78" i="12" a="1"/>
  <c r="A78" i="12" s="1"/>
  <c r="A79" i="12" a="1"/>
  <c r="A79" i="12" s="1"/>
  <c r="A80" i="12" a="1"/>
  <c r="A80" i="12" s="1"/>
  <c r="A81" i="12" a="1"/>
  <c r="A81" i="12" s="1"/>
  <c r="A82" i="12" a="1"/>
  <c r="A82" i="12" s="1"/>
  <c r="A83" i="12" a="1"/>
  <c r="A83" i="12" s="1"/>
  <c r="A84" i="12" a="1"/>
  <c r="A84" i="12" s="1"/>
  <c r="A85" i="12" a="1"/>
  <c r="A85" i="12" s="1"/>
  <c r="A86" i="12" a="1"/>
  <c r="A86" i="12" s="1"/>
  <c r="A87" i="12" a="1"/>
  <c r="A87" i="12" s="1"/>
  <c r="A88" i="12" a="1"/>
  <c r="A88" i="12" s="1"/>
  <c r="A89" i="12" a="1"/>
  <c r="A89" i="12" s="1"/>
  <c r="A90" i="12" a="1"/>
  <c r="A90" i="12" s="1"/>
  <c r="A91" i="12" a="1"/>
  <c r="A91" i="12" s="1"/>
  <c r="A92" i="12" a="1"/>
  <c r="A92" i="12" s="1"/>
  <c r="A93" i="12" a="1"/>
  <c r="A93" i="12" s="1"/>
  <c r="A94" i="12" a="1"/>
  <c r="A94" i="12" s="1"/>
  <c r="A95" i="12" a="1"/>
  <c r="A95" i="12" s="1"/>
  <c r="A96" i="12" a="1"/>
  <c r="A96" i="12" s="1"/>
  <c r="A97" i="12" a="1"/>
  <c r="A97" i="12" s="1"/>
  <c r="A98" i="12" a="1"/>
  <c r="A98" i="12" s="1"/>
  <c r="A99" i="12" a="1"/>
  <c r="A99" i="12" s="1"/>
  <c r="A100" i="12" a="1"/>
  <c r="A100" i="12" s="1"/>
  <c r="A101" i="12" a="1"/>
  <c r="A101" i="12" s="1"/>
  <c r="A102" i="12" a="1"/>
  <c r="A102" i="12" s="1"/>
  <c r="A103" i="12" a="1"/>
  <c r="A103" i="12" s="1"/>
  <c r="A104" i="12" a="1"/>
  <c r="A104" i="12" s="1"/>
  <c r="A105" i="12" a="1"/>
  <c r="A105" i="12" s="1"/>
  <c r="A106" i="12" a="1"/>
  <c r="A106" i="12" s="1"/>
  <c r="A107" i="12" a="1"/>
  <c r="A107" i="12" s="1"/>
  <c r="A108" i="12" a="1"/>
  <c r="A108" i="12" s="1"/>
  <c r="A109" i="12" a="1"/>
  <c r="A109" i="12" s="1"/>
  <c r="A110" i="12" a="1"/>
  <c r="A110" i="12" s="1"/>
  <c r="A111" i="12" a="1"/>
  <c r="A111" i="12" s="1"/>
  <c r="A112" i="12" a="1"/>
  <c r="A112" i="12" s="1"/>
  <c r="A113" i="12" a="1"/>
  <c r="A113" i="12" s="1"/>
  <c r="A114" i="12" a="1"/>
  <c r="A114" i="12" s="1"/>
  <c r="A115" i="12" a="1"/>
  <c r="A115" i="12" s="1"/>
  <c r="A116" i="12" a="1"/>
  <c r="A116" i="12" s="1"/>
  <c r="A117" i="12" a="1"/>
  <c r="A117" i="12" s="1"/>
  <c r="A118" i="12" a="1"/>
  <c r="A118" i="12" s="1"/>
  <c r="A119" i="12" a="1"/>
  <c r="A119" i="12" s="1"/>
  <c r="A120" i="12" a="1"/>
  <c r="A120" i="12" s="1"/>
  <c r="A121" i="12" a="1"/>
  <c r="A121" i="12" s="1"/>
  <c r="A122" i="12" a="1"/>
  <c r="A122" i="12" s="1"/>
  <c r="A123" i="12" a="1"/>
  <c r="A123" i="12" s="1"/>
  <c r="A124" i="12" a="1"/>
  <c r="A124" i="12" s="1"/>
  <c r="A125" i="12" a="1"/>
  <c r="A125" i="12" s="1"/>
  <c r="A126" i="12" a="1"/>
  <c r="A126" i="12" s="1"/>
  <c r="A127" i="12" a="1"/>
  <c r="A127" i="12" s="1"/>
  <c r="A128" i="12" a="1"/>
  <c r="A128" i="12" s="1"/>
  <c r="A129" i="12" a="1"/>
  <c r="A129" i="12" s="1"/>
  <c r="A130" i="12" a="1"/>
  <c r="A130" i="12" s="1"/>
  <c r="A131" i="12" a="1"/>
  <c r="A131" i="12" s="1"/>
  <c r="A132" i="12" a="1"/>
  <c r="A132" i="12" s="1"/>
  <c r="A133" i="12" a="1"/>
  <c r="A133" i="12" s="1"/>
  <c r="A134" i="12" a="1"/>
  <c r="A134" i="12" s="1"/>
  <c r="A135" i="12" a="1"/>
  <c r="A135" i="12" s="1"/>
  <c r="A136" i="12" a="1"/>
  <c r="A136" i="12" s="1"/>
  <c r="A137" i="12" a="1"/>
  <c r="A137" i="12" s="1"/>
  <c r="A138" i="12" a="1"/>
  <c r="A138" i="12" s="1"/>
  <c r="A139" i="12" a="1"/>
  <c r="A139" i="12" s="1"/>
  <c r="A140" i="12" a="1"/>
  <c r="A140" i="12" s="1"/>
  <c r="A141" i="12" a="1"/>
  <c r="A141" i="12" s="1"/>
  <c r="A142" i="12" a="1"/>
  <c r="A142" i="12" s="1"/>
  <c r="A143" i="12" a="1"/>
  <c r="A143" i="12" s="1"/>
  <c r="A144" i="12" a="1"/>
  <c r="A144" i="12" s="1"/>
  <c r="A145" i="12" a="1"/>
  <c r="A145" i="12" s="1"/>
  <c r="A146" i="12" a="1"/>
  <c r="A146" i="12" s="1"/>
  <c r="A147" i="12" a="1"/>
  <c r="A147" i="12" s="1"/>
  <c r="A148" i="12" a="1"/>
  <c r="A148" i="12" s="1"/>
  <c r="A149" i="12" a="1"/>
  <c r="A149" i="12" s="1"/>
  <c r="A150" i="12" a="1"/>
  <c r="A150" i="12" s="1"/>
  <c r="A151" i="12" a="1"/>
  <c r="A151" i="12" s="1"/>
  <c r="A152" i="12" a="1"/>
  <c r="A152" i="12" s="1"/>
  <c r="A153" i="12" a="1"/>
  <c r="A153" i="12" s="1"/>
  <c r="A154" i="12" a="1"/>
  <c r="A154" i="12" s="1"/>
  <c r="A155" i="12" a="1"/>
  <c r="A155" i="12" s="1"/>
  <c r="A156" i="12" a="1"/>
  <c r="A156" i="12" s="1"/>
  <c r="A157" i="12" a="1"/>
  <c r="A157" i="12" s="1"/>
  <c r="A158" i="12" a="1"/>
  <c r="A158" i="12" s="1"/>
  <c r="A159" i="12" a="1"/>
  <c r="A159" i="12" s="1"/>
  <c r="A160" i="12" a="1"/>
  <c r="A160" i="12" s="1"/>
  <c r="A161" i="12" a="1"/>
  <c r="A161" i="12" s="1"/>
  <c r="A162" i="12" a="1"/>
  <c r="A162" i="12" s="1"/>
  <c r="A163" i="12" a="1"/>
  <c r="A163" i="12" s="1"/>
  <c r="A164" i="12" a="1"/>
  <c r="A164" i="12" s="1"/>
  <c r="A165" i="12" a="1"/>
  <c r="A165" i="12" s="1"/>
  <c r="A166" i="12" a="1"/>
  <c r="A166" i="12" s="1"/>
  <c r="A167" i="12" a="1"/>
  <c r="A167" i="12" s="1"/>
  <c r="A168" i="12" a="1"/>
  <c r="A168" i="12" s="1"/>
  <c r="A169" i="12" a="1"/>
  <c r="A169" i="12" s="1"/>
  <c r="A170" i="12" a="1"/>
  <c r="A170" i="12" s="1"/>
  <c r="A171" i="12" a="1"/>
  <c r="A171" i="12" s="1"/>
  <c r="B1" i="3" a="1"/>
  <c r="E1" i="3" a="1"/>
  <c r="C1" i="3" a="1"/>
  <c r="A1" i="3" a="1"/>
  <c r="F1" i="3" a="1"/>
  <c r="D1" i="3" a="1"/>
  <c r="A32" i="14" l="1"/>
  <c r="A12" i="14"/>
  <c r="A28" i="14"/>
  <c r="A46" i="14"/>
  <c r="A14" i="14"/>
  <c r="A48" i="14"/>
  <c r="A16" i="14"/>
  <c r="A34" i="14"/>
  <c r="A6" i="13"/>
  <c r="A6" i="14"/>
  <c r="A42" i="14"/>
  <c r="A8" i="13"/>
  <c r="A44" i="14"/>
  <c r="A26" i="14"/>
  <c r="A1" i="14"/>
  <c r="B2" i="7"/>
  <c r="B2" i="8"/>
  <c r="E1" i="3"/>
  <c r="A1" i="3"/>
  <c r="F1" i="3"/>
  <c r="D1" i="3"/>
  <c r="B1" i="3"/>
  <c r="C1" i="3"/>
  <c r="A2" i="1" l="1"/>
  <c r="A1" i="12" l="1"/>
  <c r="A1" i="13"/>
  <c r="A1" i="11"/>
  <c r="A1" i="10"/>
  <c r="AC16" i="12" l="1"/>
  <c r="H16" i="12"/>
  <c r="R16" i="12"/>
  <c r="AB16" i="12"/>
  <c r="AA16" i="12"/>
  <c r="N16" i="12"/>
  <c r="C10" i="12"/>
  <c r="R10" i="12"/>
  <c r="M16" i="12"/>
  <c r="X16" i="12"/>
  <c r="S16" i="12"/>
  <c r="G16" i="12"/>
  <c r="C16" i="12"/>
  <c r="B16" i="12"/>
  <c r="D16" i="12"/>
  <c r="Q16" i="12"/>
  <c r="V16" i="12"/>
  <c r="J16" i="14"/>
  <c r="V16" i="14"/>
  <c r="P16" i="14"/>
  <c r="AH16" i="14"/>
  <c r="P52" i="14"/>
  <c r="D34" i="14"/>
  <c r="D16" i="14"/>
  <c r="D52" i="14"/>
  <c r="AH52" i="14"/>
  <c r="J52" i="14"/>
  <c r="AH34" i="14"/>
  <c r="AB52" i="14"/>
  <c r="AN16" i="14"/>
  <c r="P34" i="14"/>
  <c r="AB16" i="14"/>
  <c r="J34" i="14"/>
  <c r="V52" i="14"/>
  <c r="AB34" i="14"/>
  <c r="AN52" i="14"/>
  <c r="V34" i="14"/>
  <c r="AN34" i="14"/>
  <c r="AC10" i="12"/>
  <c r="X10" i="12"/>
  <c r="F16" i="14"/>
  <c r="R52" i="14"/>
  <c r="AP52" i="14"/>
  <c r="R34" i="14"/>
  <c r="AJ16" i="14"/>
  <c r="X34" i="14"/>
  <c r="AP16" i="14"/>
  <c r="X16" i="14"/>
  <c r="AJ52" i="14"/>
  <c r="AD16" i="14"/>
  <c r="L34" i="14"/>
  <c r="F34" i="14"/>
  <c r="L16" i="14"/>
  <c r="AD52" i="14"/>
  <c r="L52" i="14"/>
  <c r="X52" i="14"/>
  <c r="R16" i="14"/>
  <c r="F52" i="14"/>
  <c r="AP34" i="14"/>
  <c r="AD34" i="14"/>
  <c r="AJ34" i="14"/>
  <c r="X30" i="14"/>
  <c r="AN30" i="14"/>
  <c r="R30" i="14"/>
  <c r="V30" i="14"/>
  <c r="D12" i="12"/>
  <c r="S12" i="12"/>
  <c r="N12" i="12"/>
  <c r="X12" i="12"/>
  <c r="AN48" i="14"/>
  <c r="AL46" i="14"/>
  <c r="N46" i="14"/>
  <c r="R28" i="14"/>
  <c r="F46" i="14"/>
  <c r="V44" i="14"/>
  <c r="AG16" i="14"/>
  <c r="C34" i="14"/>
  <c r="I16" i="14"/>
  <c r="C52" i="14"/>
  <c r="O16" i="14"/>
  <c r="AM16" i="14"/>
  <c r="O52" i="14"/>
  <c r="O34" i="14"/>
  <c r="U34" i="14"/>
  <c r="C16" i="14"/>
  <c r="AM52" i="14"/>
  <c r="AA16" i="14"/>
  <c r="AG52" i="14"/>
  <c r="I34" i="14"/>
  <c r="I52" i="14"/>
  <c r="U16" i="14"/>
  <c r="U52" i="14"/>
  <c r="AG34" i="14"/>
  <c r="AA52" i="14"/>
  <c r="AA34" i="14"/>
  <c r="AM34" i="14"/>
  <c r="H12" i="12"/>
  <c r="L12" i="12"/>
  <c r="M12" i="12"/>
  <c r="R12" i="12"/>
  <c r="AP30" i="14"/>
  <c r="AA12" i="12"/>
  <c r="AB30" i="14"/>
  <c r="C12" i="12"/>
  <c r="G12" i="12"/>
  <c r="R12" i="14"/>
  <c r="O12" i="14"/>
  <c r="AM48" i="14"/>
  <c r="AG48" i="14"/>
  <c r="O48" i="14"/>
  <c r="AA30" i="14"/>
  <c r="U12" i="14"/>
  <c r="AA48" i="14"/>
  <c r="I48" i="14"/>
  <c r="C48" i="14"/>
  <c r="C30" i="14"/>
  <c r="AA12" i="14"/>
  <c r="C12" i="14"/>
  <c r="I30" i="14"/>
  <c r="AM12" i="14"/>
  <c r="U30" i="14"/>
  <c r="I12" i="14"/>
  <c r="AM30" i="14"/>
  <c r="AG12" i="14"/>
  <c r="O30" i="14"/>
  <c r="AG30" i="14"/>
  <c r="U48" i="14"/>
  <c r="L10" i="14"/>
  <c r="R10" i="14"/>
  <c r="X10" i="14"/>
  <c r="B28" i="14"/>
  <c r="B10" i="14"/>
  <c r="T10" i="14"/>
  <c r="X8" i="14"/>
  <c r="F44" i="14"/>
  <c r="R8" i="14"/>
  <c r="D8" i="14"/>
  <c r="AC16" i="14"/>
  <c r="E16" i="14"/>
  <c r="W16" i="14"/>
  <c r="Q52" i="14"/>
  <c r="AO16" i="14"/>
  <c r="K52" i="14"/>
  <c r="AO52" i="14"/>
  <c r="K34" i="14"/>
  <c r="Q34" i="14"/>
  <c r="K16" i="14"/>
  <c r="AI16" i="14"/>
  <c r="AI52" i="14"/>
  <c r="AC34" i="14"/>
  <c r="E52" i="14"/>
  <c r="E34" i="14"/>
  <c r="W34" i="14"/>
  <c r="AC52" i="14"/>
  <c r="Q16" i="14"/>
  <c r="W52" i="14"/>
  <c r="AI34" i="14"/>
  <c r="AO34" i="14"/>
  <c r="I14" i="12"/>
  <c r="X32" i="14"/>
  <c r="D14" i="12"/>
  <c r="Q50" i="14"/>
  <c r="AJ50" i="14"/>
  <c r="K32" i="14"/>
  <c r="Q32" i="14"/>
  <c r="AI50" i="14"/>
  <c r="AI12" i="14"/>
  <c r="V12" i="12"/>
  <c r="W12" i="12"/>
  <c r="AO30" i="14"/>
  <c r="AJ30" i="14"/>
  <c r="AD30" i="14"/>
  <c r="Q12" i="12"/>
  <c r="E12" i="14"/>
  <c r="V12" i="14"/>
  <c r="B12" i="12"/>
  <c r="AH30" i="14"/>
  <c r="D12" i="14"/>
  <c r="W12" i="14"/>
  <c r="Q12" i="14"/>
  <c r="AC30" i="14"/>
  <c r="AI30" i="14"/>
  <c r="AE16" i="12"/>
  <c r="Z16" i="12"/>
  <c r="U16" i="12"/>
  <c r="P16" i="12"/>
  <c r="K16" i="12"/>
  <c r="F16" i="12"/>
  <c r="AJ16" i="12"/>
  <c r="F14" i="12"/>
  <c r="Z14" i="12"/>
  <c r="AD48" i="14"/>
  <c r="AI48" i="14"/>
  <c r="P30" i="14"/>
  <c r="AH12" i="14"/>
  <c r="D48" i="14"/>
  <c r="P12" i="14"/>
  <c r="K48" i="14"/>
  <c r="AD12" i="14"/>
  <c r="D30" i="14"/>
  <c r="AO48" i="14"/>
  <c r="L12" i="14"/>
  <c r="AC12" i="14"/>
  <c r="AN12" i="14"/>
  <c r="AB12" i="14"/>
  <c r="AE12" i="12"/>
  <c r="J30" i="14"/>
  <c r="E48" i="14"/>
  <c r="E30" i="14"/>
  <c r="J12" i="14"/>
  <c r="AK16" i="12"/>
  <c r="AJ12" i="12"/>
  <c r="U12" i="12"/>
  <c r="K12" i="12"/>
  <c r="P12" i="12"/>
  <c r="F12" i="12"/>
  <c r="Z12" i="12"/>
  <c r="AK12" i="12"/>
  <c r="AK14" i="12"/>
  <c r="J48" i="14"/>
  <c r="AC48" i="14"/>
  <c r="L48" i="14"/>
  <c r="AB48" i="14"/>
  <c r="AO12" i="14"/>
  <c r="K12" i="14"/>
  <c r="AJ12" i="14"/>
  <c r="F12" i="14"/>
  <c r="K30" i="14"/>
  <c r="W30" i="14"/>
  <c r="Q48" i="14"/>
  <c r="AJ48" i="14"/>
  <c r="AP12" i="14"/>
  <c r="R48" i="14"/>
  <c r="AB12" i="12"/>
  <c r="AI10" i="14"/>
  <c r="E10" i="14"/>
  <c r="L46" i="14"/>
  <c r="R46" i="14"/>
  <c r="K46" i="14"/>
  <c r="Q10" i="14"/>
  <c r="K10" i="14"/>
  <c r="K28" i="14"/>
  <c r="W28" i="14"/>
  <c r="Q28" i="14"/>
  <c r="E28" i="14"/>
  <c r="AO28" i="14"/>
  <c r="E46" i="14"/>
  <c r="AC28" i="14"/>
  <c r="AH8" i="14"/>
  <c r="J8" i="14"/>
  <c r="P44" i="14"/>
  <c r="AN44" i="14"/>
  <c r="K44" i="14"/>
  <c r="AB8" i="14"/>
  <c r="Q44" i="14"/>
  <c r="AC26" i="14"/>
  <c r="AO26" i="14"/>
  <c r="Q26" i="14"/>
  <c r="W26" i="14"/>
  <c r="K26" i="14"/>
  <c r="E26" i="14"/>
  <c r="AI8" i="14"/>
  <c r="E44" i="14"/>
  <c r="W44" i="14"/>
  <c r="AI44" i="14"/>
  <c r="AI26" i="14"/>
  <c r="Q8" i="14"/>
  <c r="AO44" i="14"/>
  <c r="W8" i="14"/>
  <c r="T52" i="14"/>
  <c r="AF16" i="14"/>
  <c r="N16" i="14"/>
  <c r="H34" i="14"/>
  <c r="AL52" i="14"/>
  <c r="N52" i="14"/>
  <c r="T34" i="14"/>
  <c r="Z52" i="14"/>
  <c r="T16" i="14"/>
  <c r="B16" i="14"/>
  <c r="AF52" i="14"/>
  <c r="H52" i="14"/>
  <c r="B52" i="14"/>
  <c r="AL16" i="14"/>
  <c r="Z16" i="14"/>
  <c r="H16" i="14"/>
  <c r="B34" i="14"/>
  <c r="N34" i="14"/>
  <c r="Z34" i="14"/>
  <c r="AF34" i="14"/>
  <c r="AL34" i="14"/>
  <c r="H50" i="14"/>
  <c r="N14" i="14"/>
  <c r="T32" i="14"/>
  <c r="Z32" i="14"/>
  <c r="B32" i="14"/>
  <c r="AA14" i="14"/>
  <c r="I50" i="14"/>
  <c r="C32" i="14"/>
  <c r="O32" i="14"/>
  <c r="U50" i="14"/>
  <c r="U32" i="14"/>
  <c r="F48" i="14"/>
  <c r="T30" i="14"/>
  <c r="F30" i="14"/>
  <c r="X48" i="14"/>
  <c r="W48" i="14"/>
  <c r="Q30" i="14"/>
  <c r="AF30" i="14"/>
  <c r="X12" i="14"/>
  <c r="T48" i="14"/>
  <c r="L30" i="14"/>
  <c r="AP48" i="14"/>
  <c r="H48" i="14"/>
  <c r="P48" i="14"/>
  <c r="AH48" i="14"/>
  <c r="V48" i="14"/>
  <c r="AL48" i="14"/>
  <c r="Z12" i="14"/>
  <c r="AL12" i="14"/>
  <c r="H12" i="14"/>
  <c r="Z30" i="14"/>
  <c r="AF12" i="14"/>
  <c r="AF48" i="14"/>
  <c r="Z48" i="14"/>
  <c r="B12" i="14"/>
  <c r="B48" i="14"/>
  <c r="T12" i="14"/>
  <c r="N30" i="14"/>
  <c r="N12" i="14"/>
  <c r="AL30" i="14"/>
  <c r="N48" i="14"/>
  <c r="B30" i="14"/>
  <c r="H30" i="14"/>
  <c r="Q10" i="12"/>
  <c r="J10" i="14"/>
  <c r="AF46" i="14"/>
  <c r="F10" i="14"/>
  <c r="AP10" i="14"/>
  <c r="L10" i="12"/>
  <c r="P10" i="14"/>
  <c r="B46" i="14"/>
  <c r="AL10" i="14"/>
  <c r="N10" i="14"/>
  <c r="AC10" i="14"/>
  <c r="H10" i="14"/>
  <c r="T8" i="14"/>
  <c r="AF8" i="14"/>
  <c r="AA8" i="12"/>
  <c r="K8" i="14"/>
  <c r="AO8" i="14"/>
  <c r="Z44" i="14"/>
  <c r="L8" i="14"/>
  <c r="G8" i="12"/>
  <c r="B8" i="14"/>
  <c r="N8" i="14"/>
  <c r="AP8" i="14"/>
  <c r="Z17" i="8"/>
  <c r="H38" i="8"/>
  <c r="T30" i="7"/>
  <c r="H23" i="7"/>
  <c r="H29" i="8"/>
  <c r="B36" i="8"/>
  <c r="AF18" i="8"/>
  <c r="T32" i="7"/>
  <c r="N31" i="8"/>
  <c r="B15" i="7"/>
  <c r="N39" i="8"/>
  <c r="N29" i="8"/>
  <c r="N37" i="8"/>
  <c r="AF29" i="8"/>
  <c r="B27" i="8"/>
  <c r="AF39" i="8"/>
  <c r="N40" i="8"/>
  <c r="T40" i="8"/>
  <c r="Z15" i="7"/>
  <c r="Z36" i="8"/>
  <c r="H30" i="7"/>
  <c r="Z40" i="8"/>
  <c r="AF32" i="7"/>
  <c r="AF30" i="7"/>
  <c r="B38" i="8"/>
  <c r="AF38" i="8"/>
  <c r="T37" i="8"/>
  <c r="AF21" i="8"/>
  <c r="B24" i="7"/>
  <c r="B40" i="8"/>
  <c r="T39" i="8"/>
  <c r="T38" i="8"/>
  <c r="B39" i="8"/>
  <c r="AF17" i="8"/>
  <c r="AF19" i="8"/>
  <c r="AF40" i="8"/>
  <c r="N19" i="8"/>
  <c r="Z34" i="7"/>
  <c r="Z21" i="8"/>
  <c r="H28" i="8"/>
  <c r="Z38" i="8"/>
  <c r="N17" i="7"/>
  <c r="AF37" i="8"/>
  <c r="T27" i="8"/>
  <c r="AF28" i="8"/>
  <c r="H36" i="8"/>
  <c r="H39" i="8"/>
  <c r="H21" i="8"/>
  <c r="T36" i="8"/>
  <c r="N34" i="7"/>
  <c r="T29" i="8"/>
  <c r="Z39" i="8"/>
  <c r="Z37" i="8"/>
  <c r="AF23" i="7"/>
  <c r="T17" i="8"/>
  <c r="Z20" i="8"/>
  <c r="H30" i="8"/>
  <c r="T19" i="8"/>
  <c r="N28" i="8"/>
  <c r="AF36" i="8"/>
  <c r="H19" i="8"/>
  <c r="T18" i="8"/>
  <c r="F39" i="8"/>
  <c r="AJ39" i="8"/>
  <c r="R30" i="8"/>
  <c r="L15" i="7"/>
  <c r="L38" i="8"/>
  <c r="AD34" i="7"/>
  <c r="AJ30" i="7"/>
  <c r="F30" i="8"/>
  <c r="AD16" i="7"/>
  <c r="L20" i="8"/>
  <c r="AD18" i="8"/>
  <c r="F21" i="8"/>
  <c r="L19" i="8"/>
  <c r="X37" i="8"/>
  <c r="F31" i="8"/>
  <c r="R37" i="8"/>
  <c r="R30" i="7"/>
  <c r="X18" i="8"/>
  <c r="L30" i="7"/>
  <c r="AJ17" i="8"/>
  <c r="R15" i="7"/>
  <c r="L18" i="8"/>
  <c r="L21" i="8"/>
  <c r="L27" i="8"/>
  <c r="X16" i="7"/>
  <c r="X32" i="7"/>
  <c r="R23" i="7"/>
  <c r="X28" i="8"/>
  <c r="L25" i="7"/>
  <c r="L37" i="8"/>
  <c r="AJ25" i="7"/>
  <c r="R21" i="8"/>
  <c r="L30" i="8"/>
  <c r="L28" i="8"/>
  <c r="AD19" i="8"/>
  <c r="R31" i="8"/>
  <c r="X29" i="8"/>
  <c r="AD17" i="7"/>
  <c r="F40" i="8"/>
  <c r="X39" i="8"/>
  <c r="AD28" i="8"/>
  <c r="L24" i="7"/>
  <c r="AD27" i="8"/>
  <c r="R34" i="7"/>
  <c r="AJ28" i="8"/>
  <c r="AD20" i="8"/>
  <c r="L17" i="7"/>
  <c r="R17" i="7"/>
  <c r="F28" i="8"/>
  <c r="X23" i="7"/>
  <c r="F34" i="7"/>
  <c r="AJ38" i="8"/>
  <c r="AJ19" i="8"/>
  <c r="R29" i="8"/>
  <c r="L29" i="8"/>
  <c r="AD30" i="7"/>
  <c r="AD31" i="8"/>
  <c r="AJ16" i="7"/>
  <c r="F37" i="8"/>
  <c r="AJ17" i="7"/>
  <c r="F27" i="8"/>
  <c r="AD25" i="7"/>
  <c r="F17" i="7"/>
  <c r="R19" i="8"/>
  <c r="AD17" i="8"/>
  <c r="AJ18" i="8"/>
  <c r="R28" i="8"/>
  <c r="F19" i="8"/>
  <c r="F25" i="7"/>
  <c r="F32" i="7"/>
  <c r="AD15" i="7"/>
  <c r="R39" i="8"/>
  <c r="R25" i="7"/>
  <c r="AJ21" i="8"/>
  <c r="R17" i="8"/>
  <c r="AD23" i="7"/>
  <c r="AD21" i="8"/>
  <c r="X20" i="8"/>
  <c r="AJ40" i="8"/>
  <c r="AJ29" i="8"/>
  <c r="F23" i="7"/>
  <c r="L39" i="8"/>
  <c r="F17" i="8"/>
  <c r="X36" i="8"/>
  <c r="F24" i="7"/>
  <c r="AD30" i="8"/>
  <c r="F15" i="7"/>
  <c r="AJ24" i="7"/>
  <c r="X17" i="8"/>
  <c r="AD29" i="8"/>
  <c r="AD32" i="7"/>
  <c r="AJ30" i="8"/>
  <c r="F36" i="8"/>
  <c r="L36" i="8"/>
  <c r="F30" i="7"/>
  <c r="L34" i="7"/>
  <c r="AD37" i="8"/>
  <c r="X30" i="8"/>
  <c r="F20" i="8"/>
  <c r="X38" i="8"/>
  <c r="AD36" i="8"/>
  <c r="L32" i="7"/>
  <c r="AJ15" i="7"/>
  <c r="X40" i="8"/>
  <c r="R38" i="8"/>
  <c r="AJ20" i="8"/>
  <c r="R24" i="7"/>
  <c r="AJ27" i="8"/>
  <c r="X17" i="7"/>
  <c r="F16" i="7"/>
  <c r="X24" i="7"/>
  <c r="AJ34" i="7"/>
  <c r="L23" i="7"/>
  <c r="AD24" i="7"/>
  <c r="L16" i="7"/>
  <c r="R16" i="7"/>
  <c r="AJ37" i="8"/>
  <c r="L17" i="8"/>
  <c r="X25" i="7"/>
  <c r="AJ23" i="7"/>
  <c r="L40" i="8"/>
  <c r="AJ32" i="7"/>
  <c r="L31" i="8"/>
  <c r="AD40" i="8"/>
  <c r="X15" i="7"/>
  <c r="X30" i="7"/>
  <c r="R18" i="8"/>
  <c r="AJ36" i="8"/>
  <c r="R20" i="8"/>
  <c r="R32" i="7"/>
  <c r="X21" i="8"/>
  <c r="AD38" i="8"/>
  <c r="X34" i="7"/>
  <c r="F18" i="8"/>
  <c r="F38" i="8"/>
  <c r="X31" i="8"/>
  <c r="X19" i="8"/>
  <c r="F29" i="8"/>
  <c r="AJ31" i="8"/>
  <c r="R40" i="8"/>
  <c r="R27" i="8"/>
  <c r="X27" i="8"/>
  <c r="AQ30" i="14" l="1"/>
  <c r="AQ12" i="14"/>
  <c r="S52" i="14"/>
  <c r="AQ34" i="14"/>
  <c r="G52" i="14"/>
  <c r="AK52" i="14"/>
  <c r="Y34" i="14"/>
  <c r="AK16" i="14"/>
  <c r="G34" i="14"/>
  <c r="Y16" i="14"/>
  <c r="AQ52" i="14"/>
  <c r="Y52" i="14"/>
  <c r="M16" i="14"/>
  <c r="M52" i="14"/>
  <c r="AK34" i="14"/>
  <c r="AE52" i="14"/>
  <c r="M34" i="14"/>
  <c r="AE34" i="14"/>
  <c r="AE16" i="14"/>
  <c r="T12" i="12"/>
  <c r="AE12" i="14"/>
  <c r="S12" i="14"/>
  <c r="AE30" i="14"/>
  <c r="S16" i="14"/>
  <c r="AD16" i="12"/>
  <c r="G12" i="14"/>
  <c r="G30" i="14"/>
  <c r="AE48" i="14"/>
  <c r="AK30" i="14"/>
  <c r="S34" i="14"/>
  <c r="AQ16" i="14"/>
  <c r="G16" i="14"/>
  <c r="T16" i="12"/>
  <c r="E16" i="12"/>
  <c r="AK48" i="14"/>
  <c r="Y30" i="14"/>
  <c r="G48" i="14"/>
  <c r="M48" i="14"/>
  <c r="O12" i="12"/>
  <c r="Y12" i="14"/>
  <c r="AK12" i="14"/>
  <c r="M12" i="14"/>
  <c r="Y12" i="12"/>
  <c r="AF12" i="12"/>
  <c r="E12" i="12"/>
  <c r="S48" i="14"/>
  <c r="AQ48" i="14"/>
  <c r="M30" i="14"/>
  <c r="AG12" i="12"/>
  <c r="S30" i="14"/>
  <c r="Y48" i="14"/>
  <c r="AP34" i="7"/>
  <c r="AP30" i="7"/>
  <c r="AP32" i="7"/>
  <c r="H37" i="8" l="1"/>
  <c r="B34" i="7"/>
  <c r="N32" i="7"/>
  <c r="B28" i="8"/>
  <c r="H24" i="7"/>
  <c r="H20" i="8"/>
  <c r="N30" i="8"/>
  <c r="AD39" i="8"/>
  <c r="H10" i="12"/>
  <c r="G10" i="12"/>
  <c r="I10" i="12"/>
  <c r="P28" i="14"/>
  <c r="AB46" i="14"/>
  <c r="N10" i="12"/>
  <c r="S10" i="12"/>
  <c r="T10" i="12" s="1"/>
  <c r="AP28" i="14"/>
  <c r="L28" i="14"/>
  <c r="AL28" i="14"/>
  <c r="AP46" i="14"/>
  <c r="AJ10" i="14"/>
  <c r="AD10" i="14"/>
  <c r="F28" i="14"/>
  <c r="V46" i="14"/>
  <c r="V10" i="14"/>
  <c r="Z10" i="14"/>
  <c r="D46" i="14"/>
  <c r="Q46" i="14"/>
  <c r="AO10" i="14"/>
  <c r="AI46" i="14"/>
  <c r="W46" i="14"/>
  <c r="AE10" i="12"/>
  <c r="K10" i="12"/>
  <c r="Z28" i="14"/>
  <c r="AB10" i="12"/>
  <c r="J28" i="14"/>
  <c r="AN10" i="14"/>
  <c r="H46" i="14"/>
  <c r="AD46" i="14"/>
  <c r="X28" i="14"/>
  <c r="AJ28" i="14"/>
  <c r="D10" i="14"/>
  <c r="AJ46" i="14"/>
  <c r="Z46" i="14"/>
  <c r="D28" i="14"/>
  <c r="AF10" i="14"/>
  <c r="W10" i="14"/>
  <c r="AH46" i="14"/>
  <c r="AI28" i="14"/>
  <c r="J46" i="14"/>
  <c r="AB10" i="14"/>
  <c r="M10" i="12"/>
  <c r="F10" i="12"/>
  <c r="D10" i="12"/>
  <c r="AF28" i="14"/>
  <c r="N28" i="14"/>
  <c r="U10" i="12"/>
  <c r="X46" i="14"/>
  <c r="T46" i="14"/>
  <c r="Z10" i="12"/>
  <c r="AJ10" i="12"/>
  <c r="V10" i="12"/>
  <c r="B10" i="12"/>
  <c r="AB28" i="14"/>
  <c r="AH10" i="14"/>
  <c r="V28" i="14"/>
  <c r="C10" i="14"/>
  <c r="U46" i="14"/>
  <c r="AG28" i="14"/>
  <c r="U28" i="14"/>
  <c r="AA46" i="14"/>
  <c r="AA10" i="14"/>
  <c r="U10" i="14"/>
  <c r="C28" i="14"/>
  <c r="AG10" i="14"/>
  <c r="AM46" i="14"/>
  <c r="O10" i="14"/>
  <c r="S10" i="14" s="1"/>
  <c r="C46" i="14"/>
  <c r="G46" i="14" s="1"/>
  <c r="I46" i="14"/>
  <c r="I28" i="14"/>
  <c r="AG46" i="14"/>
  <c r="AM10" i="14"/>
  <c r="O46" i="14"/>
  <c r="AM28" i="14"/>
  <c r="I10" i="14"/>
  <c r="M10" i="14" s="1"/>
  <c r="O28" i="14"/>
  <c r="AA28" i="14"/>
  <c r="AA14" i="12"/>
  <c r="C14" i="12"/>
  <c r="AP14" i="14"/>
  <c r="AC14" i="12"/>
  <c r="AN50" i="14"/>
  <c r="AC32" i="14"/>
  <c r="X14" i="12"/>
  <c r="W32" i="14"/>
  <c r="E14" i="14"/>
  <c r="AI32" i="14"/>
  <c r="AJ14" i="12"/>
  <c r="B50" i="14"/>
  <c r="T50" i="14"/>
  <c r="AL32" i="14"/>
  <c r="Z50" i="14"/>
  <c r="AF32" i="14"/>
  <c r="I14" i="14"/>
  <c r="U14" i="14"/>
  <c r="AG14" i="14"/>
  <c r="AA50" i="14"/>
  <c r="I32" i="14"/>
  <c r="L14" i="12"/>
  <c r="R14" i="14"/>
  <c r="AP50" i="14"/>
  <c r="Q14" i="12"/>
  <c r="AN32" i="14"/>
  <c r="L50" i="14"/>
  <c r="AH32" i="14"/>
  <c r="AO50" i="14"/>
  <c r="AO14" i="14"/>
  <c r="E50" i="14"/>
  <c r="AI14" i="14"/>
  <c r="AE14" i="12"/>
  <c r="K14" i="12"/>
  <c r="AF14" i="14"/>
  <c r="T14" i="14"/>
  <c r="AF50" i="14"/>
  <c r="N50" i="14"/>
  <c r="N32" i="14"/>
  <c r="C14" i="14"/>
  <c r="AG50" i="14"/>
  <c r="O14" i="14"/>
  <c r="AM14" i="14"/>
  <c r="AG32" i="14"/>
  <c r="E32" i="14"/>
  <c r="S14" i="12"/>
  <c r="Q14" i="14"/>
  <c r="W14" i="14"/>
  <c r="AC50" i="14"/>
  <c r="U14" i="12"/>
  <c r="P14" i="12"/>
  <c r="B14" i="14"/>
  <c r="H14" i="14"/>
  <c r="AL14" i="14"/>
  <c r="AL50" i="14"/>
  <c r="Z14" i="14"/>
  <c r="H32" i="14"/>
  <c r="O50" i="14"/>
  <c r="C50" i="14"/>
  <c r="AM50" i="14"/>
  <c r="AM32" i="14"/>
  <c r="AA32" i="14"/>
  <c r="F32" i="14"/>
  <c r="AD14" i="14"/>
  <c r="V14" i="14"/>
  <c r="F14" i="14"/>
  <c r="J32" i="14"/>
  <c r="P32" i="14"/>
  <c r="D14" i="14"/>
  <c r="AB32" i="14"/>
  <c r="M14" i="12"/>
  <c r="AB14" i="14"/>
  <c r="R50" i="14"/>
  <c r="F50" i="14"/>
  <c r="AH14" i="14"/>
  <c r="AB14" i="12"/>
  <c r="R14" i="12"/>
  <c r="X50" i="14"/>
  <c r="AJ14" i="14"/>
  <c r="H14" i="12"/>
  <c r="AH50" i="14"/>
  <c r="AK50" i="14" s="1"/>
  <c r="B14" i="12"/>
  <c r="E14" i="12" s="1"/>
  <c r="AD32" i="14"/>
  <c r="AJ32" i="14"/>
  <c r="R26" i="14"/>
  <c r="T44" i="14"/>
  <c r="L26" i="14"/>
  <c r="S8" i="13"/>
  <c r="T26" i="14"/>
  <c r="Z8" i="13"/>
  <c r="AK8" i="13"/>
  <c r="AJ8" i="13"/>
  <c r="AB26" i="14"/>
  <c r="K8" i="12"/>
  <c r="P8" i="13"/>
  <c r="AC8" i="12"/>
  <c r="S8" i="12"/>
  <c r="Z8" i="12"/>
  <c r="D8" i="13"/>
  <c r="N8" i="13"/>
  <c r="AK8" i="12"/>
  <c r="AH26" i="14"/>
  <c r="F8" i="13"/>
  <c r="R36" i="8"/>
  <c r="N27" i="8"/>
  <c r="Z18" i="8"/>
  <c r="T34" i="7"/>
  <c r="N21" i="8"/>
  <c r="N36" i="8"/>
  <c r="T24" i="7"/>
  <c r="Z30" i="7"/>
  <c r="N25" i="7"/>
  <c r="N16" i="7"/>
  <c r="H25" i="7"/>
  <c r="H31" i="8"/>
  <c r="Z19" i="8"/>
  <c r="B23" i="7"/>
  <c r="X8" i="13"/>
  <c r="F8" i="12"/>
  <c r="I8" i="13"/>
  <c r="AJ8" i="12"/>
  <c r="AE8" i="12"/>
  <c r="B8" i="12"/>
  <c r="P8" i="12"/>
  <c r="AE8" i="13"/>
  <c r="K8" i="13"/>
  <c r="I8" i="12"/>
  <c r="U8" i="13"/>
  <c r="L8" i="12"/>
  <c r="D8" i="12"/>
  <c r="N8" i="12"/>
  <c r="Q8" i="12"/>
  <c r="V8" i="12"/>
  <c r="U8" i="12"/>
  <c r="V32" i="14"/>
  <c r="Y32" i="14" s="1"/>
  <c r="AB50" i="14"/>
  <c r="AD50" i="14"/>
  <c r="H27" i="8"/>
  <c r="AA10" i="12"/>
  <c r="W16" i="12"/>
  <c r="P14" i="14"/>
  <c r="D32" i="14"/>
  <c r="D50" i="14"/>
  <c r="AC12" i="12"/>
  <c r="AD12" i="12" s="1"/>
  <c r="G14" i="12"/>
  <c r="W14" i="12"/>
  <c r="V14" i="12"/>
  <c r="L32" i="14"/>
  <c r="R32" i="14"/>
  <c r="X8" i="12"/>
  <c r="W10" i="12"/>
  <c r="L16" i="12"/>
  <c r="I16" i="12"/>
  <c r="P10" i="12"/>
  <c r="J14" i="14"/>
  <c r="J50" i="14"/>
  <c r="I12" i="12"/>
  <c r="P50" i="14"/>
  <c r="H15" i="7"/>
  <c r="X14" i="14"/>
  <c r="Z29" i="8"/>
  <c r="T17" i="7"/>
  <c r="T15" i="7"/>
  <c r="H34" i="7"/>
  <c r="AF20" i="8"/>
  <c r="B17" i="7"/>
  <c r="L14" i="14"/>
  <c r="V50" i="14"/>
  <c r="AO32" i="14"/>
  <c r="AP32" i="14"/>
  <c r="N14" i="12"/>
  <c r="AN14" i="14"/>
  <c r="K14" i="14"/>
  <c r="AC14" i="14"/>
  <c r="AE14" i="14" s="1"/>
  <c r="W50" i="14"/>
  <c r="K50" i="14"/>
  <c r="AQ14" i="14" l="1"/>
  <c r="Y14" i="14"/>
  <c r="G32" i="14"/>
  <c r="S50" i="14"/>
  <c r="M32" i="14"/>
  <c r="S14" i="14"/>
  <c r="G50" i="14"/>
  <c r="AQ10" i="14"/>
  <c r="G28" i="14"/>
  <c r="S32" i="14"/>
  <c r="AG14" i="12"/>
  <c r="J10" i="12"/>
  <c r="T14" i="12"/>
  <c r="F14" i="1"/>
  <c r="B28" i="1"/>
  <c r="W34" i="1"/>
  <c r="N24" i="7"/>
  <c r="T21" i="8"/>
  <c r="N30" i="7"/>
  <c r="B25" i="7"/>
  <c r="B16" i="7"/>
  <c r="Z24" i="7"/>
  <c r="AF25" i="7"/>
  <c r="AF31" i="8"/>
  <c r="Z31" i="8"/>
  <c r="T30" i="8"/>
  <c r="B30" i="8"/>
  <c r="Z23" i="7"/>
  <c r="B32" i="7"/>
  <c r="I22" i="1"/>
  <c r="M14" i="1"/>
  <c r="E34" i="1"/>
  <c r="N14" i="1"/>
  <c r="M22" i="1"/>
  <c r="A34" i="1"/>
  <c r="U14" i="1"/>
  <c r="C34" i="1"/>
  <c r="G34" i="1"/>
  <c r="S34" i="1"/>
  <c r="M34" i="1"/>
  <c r="R22" i="1"/>
  <c r="I34" i="1"/>
  <c r="J14" i="1"/>
  <c r="A22" i="1"/>
  <c r="Z16" i="7"/>
  <c r="T25" i="7"/>
  <c r="H40" i="8"/>
  <c r="T28" i="8"/>
  <c r="Z28" i="8"/>
  <c r="S12" i="13"/>
  <c r="G8" i="13"/>
  <c r="L8" i="13"/>
  <c r="AC8" i="13"/>
  <c r="AH8" i="13" s="1"/>
  <c r="AA12" i="13"/>
  <c r="P12" i="13"/>
  <c r="AC12" i="13"/>
  <c r="B8" i="13"/>
  <c r="Q8" i="13"/>
  <c r="V12" i="13"/>
  <c r="D12" i="13"/>
  <c r="AA8" i="13"/>
  <c r="V8" i="13"/>
  <c r="R14" i="1"/>
  <c r="R28" i="1"/>
  <c r="E14" i="1"/>
  <c r="I14" i="1"/>
  <c r="Q28" i="1"/>
  <c r="N28" i="1"/>
  <c r="F22" i="1"/>
  <c r="I28" i="1"/>
  <c r="U22" i="1"/>
  <c r="V14" i="1"/>
  <c r="V22" i="1"/>
  <c r="B14" i="1"/>
  <c r="Q22" i="1"/>
  <c r="Q34" i="1"/>
  <c r="M28" i="1"/>
  <c r="A14" i="1"/>
  <c r="B22" i="1"/>
  <c r="U28" i="1"/>
  <c r="E28" i="1"/>
  <c r="J28" i="1"/>
  <c r="F28" i="1"/>
  <c r="V28" i="1"/>
  <c r="J22" i="1"/>
  <c r="U34" i="1"/>
  <c r="N22" i="1"/>
  <c r="N38" i="8"/>
  <c r="B21" i="8"/>
  <c r="H18" i="8"/>
  <c r="B37" i="8"/>
  <c r="AF27" i="8"/>
  <c r="F12" i="13"/>
  <c r="AJ12" i="13"/>
  <c r="Z12" i="13"/>
  <c r="B12" i="13"/>
  <c r="G12" i="13"/>
  <c r="N12" i="13"/>
  <c r="X12" i="13"/>
  <c r="AK12" i="13"/>
  <c r="AE12" i="13"/>
  <c r="L12" i="13"/>
  <c r="Q12" i="13"/>
  <c r="H12" i="13"/>
  <c r="K12" i="13"/>
  <c r="U12" i="13"/>
  <c r="M12" i="13"/>
  <c r="I12" i="13"/>
  <c r="C12" i="13"/>
  <c r="AB12" i="13"/>
  <c r="R12" i="13"/>
  <c r="W12" i="13"/>
  <c r="X10" i="13"/>
  <c r="Z10" i="13"/>
  <c r="D10" i="13"/>
  <c r="AE10" i="13"/>
  <c r="L10" i="13"/>
  <c r="D26" i="14"/>
  <c r="V26" i="14"/>
  <c r="B26" i="14"/>
  <c r="L44" i="14"/>
  <c r="AJ8" i="14"/>
  <c r="AL44" i="14"/>
  <c r="AD44" i="14"/>
  <c r="V8" i="14"/>
  <c r="AE32" i="14"/>
  <c r="M46" i="14"/>
  <c r="AD14" i="12"/>
  <c r="AE10" i="14"/>
  <c r="G10" i="14"/>
  <c r="E10" i="12"/>
  <c r="AK10" i="14"/>
  <c r="O10" i="12"/>
  <c r="AK46" i="14"/>
  <c r="Y10" i="14"/>
  <c r="AH10" i="12"/>
  <c r="Y46" i="14"/>
  <c r="S28" i="14"/>
  <c r="AK32" i="14"/>
  <c r="AQ50" i="14"/>
  <c r="G14" i="14"/>
  <c r="AK14" i="14"/>
  <c r="AF8" i="12"/>
  <c r="Y14" i="12"/>
  <c r="AE50" i="14"/>
  <c r="Y50" i="14"/>
  <c r="M14" i="14"/>
  <c r="J14" i="12"/>
  <c r="AF14" i="12"/>
  <c r="J12" i="12"/>
  <c r="AH12" i="12"/>
  <c r="AI12" i="12" s="1"/>
  <c r="J16" i="12"/>
  <c r="AH16" i="12"/>
  <c r="AH8" i="12"/>
  <c r="AF10" i="12"/>
  <c r="AD10" i="12"/>
  <c r="AG10" i="12"/>
  <c r="Y10" i="12"/>
  <c r="O14" i="12"/>
  <c r="AH14" i="12"/>
  <c r="AQ32" i="14"/>
  <c r="M50" i="14"/>
  <c r="O16" i="12"/>
  <c r="AF16" i="12"/>
  <c r="AG16" i="12"/>
  <c r="Y16" i="12"/>
  <c r="AD12" i="13" l="1"/>
  <c r="O34" i="1"/>
  <c r="A28" i="1"/>
  <c r="AH23" i="7"/>
  <c r="D21" i="8"/>
  <c r="J30" i="7"/>
  <c r="V28" i="8"/>
  <c r="AH37" i="8"/>
  <c r="J37" i="8"/>
  <c r="K34" i="1"/>
  <c r="H17" i="7"/>
  <c r="J17" i="7"/>
  <c r="D25" i="7"/>
  <c r="V24" i="7"/>
  <c r="D32" i="7"/>
  <c r="AH18" i="8"/>
  <c r="P18" i="8"/>
  <c r="P17" i="7"/>
  <c r="AH20" i="8"/>
  <c r="AB29" i="8"/>
  <c r="V38" i="8"/>
  <c r="P30" i="8"/>
  <c r="P16" i="7"/>
  <c r="AH16" i="7"/>
  <c r="AB25" i="7"/>
  <c r="AH30" i="8"/>
  <c r="Q6" i="14"/>
  <c r="AH32" i="7"/>
  <c r="AH25" i="7"/>
  <c r="V32" i="7"/>
  <c r="P25" i="7"/>
  <c r="AB23" i="7"/>
  <c r="D31" i="8"/>
  <c r="D29" i="8"/>
  <c r="AB34" i="7"/>
  <c r="AH28" i="8"/>
  <c r="V39" i="8"/>
  <c r="V15" i="7"/>
  <c r="D37" i="8"/>
  <c r="P31" i="8"/>
  <c r="D19" i="8"/>
  <c r="J31" i="8"/>
  <c r="J17" i="8"/>
  <c r="V21" i="8"/>
  <c r="AH21" i="8"/>
  <c r="AB16" i="7"/>
  <c r="J27" i="8"/>
  <c r="AB20" i="8"/>
  <c r="P21" i="8"/>
  <c r="AH31" i="8"/>
  <c r="AB28" i="8"/>
  <c r="P32" i="7"/>
  <c r="J24" i="7"/>
  <c r="J36" i="8"/>
  <c r="AH40" i="8"/>
  <c r="AB27" i="8"/>
  <c r="V27" i="8"/>
  <c r="D15" i="7"/>
  <c r="J20" i="8"/>
  <c r="D40" i="8"/>
  <c r="AB18" i="8"/>
  <c r="AB17" i="8"/>
  <c r="AB37" i="8"/>
  <c r="J40" i="8"/>
  <c r="D24" i="7"/>
  <c r="P39" i="8"/>
  <c r="AH30" i="7"/>
  <c r="D17" i="8"/>
  <c r="AH19" i="8"/>
  <c r="V31" i="8"/>
  <c r="J19" i="8"/>
  <c r="AB15" i="7"/>
  <c r="AB38" i="8"/>
  <c r="J25" i="7"/>
  <c r="P37" i="8"/>
  <c r="V16" i="7"/>
  <c r="P6" i="14"/>
  <c r="AH6" i="14"/>
  <c r="AB24" i="14"/>
  <c r="AN6" i="14"/>
  <c r="AB6" i="14"/>
  <c r="P42" i="14"/>
  <c r="AN42" i="14"/>
  <c r="AB42" i="14"/>
  <c r="J6" i="14"/>
  <c r="V24" i="14"/>
  <c r="AH24" i="14"/>
  <c r="D42" i="14"/>
  <c r="V6" i="14"/>
  <c r="Z6" i="12"/>
  <c r="AD42" i="14"/>
  <c r="W24" i="14"/>
  <c r="W6" i="14"/>
  <c r="AP24" i="14"/>
  <c r="E42" i="14"/>
  <c r="K42" i="14"/>
  <c r="D23" i="7"/>
  <c r="G28" i="1"/>
  <c r="H28" i="1" s="1"/>
  <c r="S22" i="1"/>
  <c r="T22" i="1" s="1"/>
  <c r="S14" i="1"/>
  <c r="W28" i="1"/>
  <c r="X28" i="1" s="1"/>
  <c r="C22" i="1"/>
  <c r="D22" i="1" s="1"/>
  <c r="O14" i="1"/>
  <c r="P14" i="1" s="1"/>
  <c r="G14" i="1"/>
  <c r="H14" i="1" s="1"/>
  <c r="W22" i="1"/>
  <c r="X22" i="1" s="1"/>
  <c r="K22" i="1"/>
  <c r="L22" i="1" s="1"/>
  <c r="O28" i="1"/>
  <c r="P28" i="1" s="1"/>
  <c r="O22" i="1"/>
  <c r="P22" i="1" s="1"/>
  <c r="W14" i="1"/>
  <c r="X14" i="1" s="1"/>
  <c r="K28" i="1"/>
  <c r="L28" i="1" s="1"/>
  <c r="S28" i="1"/>
  <c r="T28" i="1" s="1"/>
  <c r="C28" i="1"/>
  <c r="D28" i="1" s="1"/>
  <c r="G22" i="1"/>
  <c r="K14" i="1"/>
  <c r="L14" i="1" s="1"/>
  <c r="C14" i="1"/>
  <c r="D14" i="1" s="1"/>
  <c r="P27" i="8"/>
  <c r="AB24" i="7"/>
  <c r="AH17" i="7"/>
  <c r="V40" i="8"/>
  <c r="J28" i="8"/>
  <c r="P34" i="7"/>
  <c r="P40" i="8"/>
  <c r="AB40" i="8"/>
  <c r="D28" i="8"/>
  <c r="V17" i="7"/>
  <c r="J30" i="8"/>
  <c r="AB30" i="8"/>
  <c r="AB36" i="8"/>
  <c r="P28" i="8"/>
  <c r="V34" i="7"/>
  <c r="J18" i="8"/>
  <c r="V17" i="8"/>
  <c r="AB17" i="7"/>
  <c r="AH24" i="7"/>
  <c r="AH39" i="8"/>
  <c r="O27" i="8"/>
  <c r="I29" i="8"/>
  <c r="AG31" i="8"/>
  <c r="AG15" i="7"/>
  <c r="O19" i="8"/>
  <c r="I39" i="8"/>
  <c r="AG18" i="8"/>
  <c r="AA29" i="8"/>
  <c r="AA31" i="8"/>
  <c r="AG24" i="7"/>
  <c r="AA30" i="7"/>
  <c r="U17" i="8"/>
  <c r="I37" i="8"/>
  <c r="U18" i="8"/>
  <c r="AA19" i="8"/>
  <c r="I19" i="8"/>
  <c r="AA17" i="8"/>
  <c r="AA15" i="7"/>
  <c r="O24" i="7"/>
  <c r="U30" i="7"/>
  <c r="U17" i="7"/>
  <c r="AA25" i="7"/>
  <c r="O30" i="7"/>
  <c r="I28" i="8"/>
  <c r="AA23" i="7"/>
  <c r="I23" i="7"/>
  <c r="C15" i="7"/>
  <c r="U29" i="8"/>
  <c r="AG30" i="8"/>
  <c r="AA16" i="7"/>
  <c r="U36" i="8"/>
  <c r="U38" i="8"/>
  <c r="AA18" i="8"/>
  <c r="I36" i="8"/>
  <c r="I40" i="8"/>
  <c r="U31" i="8"/>
  <c r="O17" i="7"/>
  <c r="I30" i="7"/>
  <c r="O18" i="8"/>
  <c r="AA37" i="8"/>
  <c r="AG30" i="7"/>
  <c r="I27" i="8"/>
  <c r="AG38" i="8"/>
  <c r="C16" i="7"/>
  <c r="AA36" i="8"/>
  <c r="U23" i="7"/>
  <c r="I25" i="7"/>
  <c r="O37" i="8"/>
  <c r="AA20" i="8"/>
  <c r="O32" i="7"/>
  <c r="O20" i="8"/>
  <c r="AG17" i="7"/>
  <c r="AA24" i="7"/>
  <c r="C36" i="8"/>
  <c r="U39" i="8"/>
  <c r="U34" i="7"/>
  <c r="O34" i="7"/>
  <c r="C34" i="7"/>
  <c r="C37" i="8"/>
  <c r="O21" i="8"/>
  <c r="U28" i="8"/>
  <c r="I15" i="7"/>
  <c r="O28" i="8"/>
  <c r="U20" i="8"/>
  <c r="AG37" i="8"/>
  <c r="O38" i="8"/>
  <c r="O17" i="8"/>
  <c r="U15" i="7"/>
  <c r="AG28" i="8"/>
  <c r="AA39" i="8"/>
  <c r="C28" i="8"/>
  <c r="C40" i="8"/>
  <c r="AA17" i="7"/>
  <c r="O16" i="7"/>
  <c r="I32" i="7"/>
  <c r="U16" i="7"/>
  <c r="AG39" i="8"/>
  <c r="I17" i="7"/>
  <c r="U30" i="8"/>
  <c r="I24" i="7"/>
  <c r="I16" i="7"/>
  <c r="U37" i="8"/>
  <c r="I34" i="7"/>
  <c r="AG19" i="8"/>
  <c r="U24" i="7"/>
  <c r="AG40" i="8"/>
  <c r="C23" i="7"/>
  <c r="C18" i="8"/>
  <c r="C29" i="8"/>
  <c r="AA32" i="7"/>
  <c r="AA27" i="8"/>
  <c r="O30" i="8"/>
  <c r="U21" i="8"/>
  <c r="I30" i="8"/>
  <c r="U19" i="8"/>
  <c r="U25" i="7"/>
  <c r="AA30" i="8"/>
  <c r="AG36" i="8"/>
  <c r="AG34" i="7"/>
  <c r="AG32" i="7"/>
  <c r="AA34" i="7"/>
  <c r="O25" i="7"/>
  <c r="C27" i="8"/>
  <c r="C38" i="8"/>
  <c r="C32" i="7"/>
  <c r="AA21" i="8"/>
  <c r="I17" i="8"/>
  <c r="AG29" i="8"/>
  <c r="C30" i="7"/>
  <c r="I18" i="8"/>
  <c r="C19" i="8"/>
  <c r="O23" i="7"/>
  <c r="I31" i="8"/>
  <c r="C21" i="8"/>
  <c r="U27" i="8"/>
  <c r="O39" i="8"/>
  <c r="U40" i="8"/>
  <c r="C30" i="8"/>
  <c r="I38" i="8"/>
  <c r="C17" i="8"/>
  <c r="U32" i="7"/>
  <c r="O40" i="8"/>
  <c r="C24" i="7"/>
  <c r="AG20" i="8"/>
  <c r="O29" i="8"/>
  <c r="C17" i="7"/>
  <c r="C31" i="8"/>
  <c r="AA28" i="8"/>
  <c r="AG21" i="8"/>
  <c r="AA38" i="8"/>
  <c r="AG16" i="7"/>
  <c r="C25" i="7"/>
  <c r="I20" i="8"/>
  <c r="O15" i="7"/>
  <c r="AG27" i="8"/>
  <c r="O31" i="8"/>
  <c r="C20" i="8"/>
  <c r="O36" i="8"/>
  <c r="AG23" i="7"/>
  <c r="C39" i="8"/>
  <c r="I21" i="8"/>
  <c r="AG17" i="8"/>
  <c r="AA40" i="8"/>
  <c r="AG25" i="7"/>
  <c r="J29" i="8"/>
  <c r="P30" i="7"/>
  <c r="D30" i="8"/>
  <c r="P23" i="7"/>
  <c r="D20" i="8"/>
  <c r="P29" i="8"/>
  <c r="V23" i="7"/>
  <c r="J32" i="7"/>
  <c r="AB30" i="7"/>
  <c r="AH38" i="8"/>
  <c r="AC23" i="7"/>
  <c r="AI28" i="8"/>
  <c r="AB31" i="8"/>
  <c r="D34" i="7"/>
  <c r="D38" i="8"/>
  <c r="D36" i="8"/>
  <c r="Q23" i="7"/>
  <c r="AI16" i="7"/>
  <c r="Q30" i="7"/>
  <c r="AI40" i="8"/>
  <c r="AI17" i="8"/>
  <c r="K29" i="8"/>
  <c r="W17" i="7"/>
  <c r="AI24" i="7"/>
  <c r="K20" i="8"/>
  <c r="K30" i="8"/>
  <c r="W39" i="8"/>
  <c r="E27" i="8"/>
  <c r="E19" i="8"/>
  <c r="Q38" i="8"/>
  <c r="E39" i="8"/>
  <c r="W32" i="7"/>
  <c r="E28" i="8"/>
  <c r="AC16" i="7"/>
  <c r="AE16" i="7" s="1"/>
  <c r="AC29" i="8"/>
  <c r="AI18" i="8"/>
  <c r="E24" i="7"/>
  <c r="AI29" i="8"/>
  <c r="AI30" i="7"/>
  <c r="AC17" i="8"/>
  <c r="Q30" i="8"/>
  <c r="AC21" i="8"/>
  <c r="E20" i="8"/>
  <c r="E30" i="8"/>
  <c r="K25" i="7"/>
  <c r="K24" i="7"/>
  <c r="W21" i="8"/>
  <c r="Q19" i="8"/>
  <c r="AI37" i="8"/>
  <c r="E18" i="8"/>
  <c r="K23" i="7"/>
  <c r="E17" i="8"/>
  <c r="E21" i="8"/>
  <c r="Q31" i="8"/>
  <c r="Q17" i="7"/>
  <c r="K36" i="8"/>
  <c r="E31" i="8"/>
  <c r="K37" i="8"/>
  <c r="Q25" i="7"/>
  <c r="K38" i="8"/>
  <c r="AC32" i="7"/>
  <c r="AI32" i="7"/>
  <c r="W20" i="8"/>
  <c r="K17" i="7"/>
  <c r="AC17" i="7"/>
  <c r="Q27" i="8"/>
  <c r="AI36" i="8"/>
  <c r="K30" i="7"/>
  <c r="E30" i="7"/>
  <c r="W23" i="7"/>
  <c r="E32" i="7"/>
  <c r="E16" i="7"/>
  <c r="W16" i="7"/>
  <c r="AI30" i="8"/>
  <c r="Q24" i="7"/>
  <c r="Q29" i="8"/>
  <c r="K31" i="8"/>
  <c r="AI38" i="8"/>
  <c r="W31" i="8"/>
  <c r="AC27" i="8"/>
  <c r="Q20" i="8"/>
  <c r="AC19" i="8"/>
  <c r="AC18" i="8"/>
  <c r="AI15" i="7"/>
  <c r="Q21" i="8"/>
  <c r="K28" i="8"/>
  <c r="Q16" i="7"/>
  <c r="Q28" i="8"/>
  <c r="E23" i="7"/>
  <c r="K15" i="7"/>
  <c r="AC30" i="8"/>
  <c r="E25" i="7"/>
  <c r="AC40" i="8"/>
  <c r="Q40" i="8"/>
  <c r="AI19" i="8"/>
  <c r="Q34" i="7"/>
  <c r="W19" i="8"/>
  <c r="W30" i="8"/>
  <c r="E40" i="8"/>
  <c r="E17" i="7"/>
  <c r="AC30" i="7"/>
  <c r="AC25" i="7"/>
  <c r="Q39" i="8"/>
  <c r="W17" i="8"/>
  <c r="K17" i="8"/>
  <c r="E15" i="7"/>
  <c r="AI39" i="8"/>
  <c r="AI25" i="7"/>
  <c r="K40" i="8"/>
  <c r="AC37" i="8"/>
  <c r="E29" i="8"/>
  <c r="AI27" i="8"/>
  <c r="K16" i="7"/>
  <c r="AI20" i="8"/>
  <c r="W15" i="7"/>
  <c r="AC31" i="8"/>
  <c r="AC20" i="8"/>
  <c r="K34" i="7"/>
  <c r="AI23" i="7"/>
  <c r="AC15" i="7"/>
  <c r="W38" i="8"/>
  <c r="K18" i="8"/>
  <c r="E38" i="8"/>
  <c r="W25" i="7"/>
  <c r="W27" i="8"/>
  <c r="W30" i="7"/>
  <c r="Q32" i="7"/>
  <c r="AI17" i="7"/>
  <c r="W40" i="8"/>
  <c r="W34" i="7"/>
  <c r="Q17" i="8"/>
  <c r="AI21" i="8"/>
  <c r="E34" i="7"/>
  <c r="AC24" i="7"/>
  <c r="Q15" i="7"/>
  <c r="AC38" i="8"/>
  <c r="K27" i="8"/>
  <c r="W29" i="8"/>
  <c r="Q37" i="8"/>
  <c r="E37" i="8"/>
  <c r="E36" i="8"/>
  <c r="Q36" i="8"/>
  <c r="W36" i="8"/>
  <c r="K21" i="8"/>
  <c r="W18" i="8"/>
  <c r="AI34" i="7"/>
  <c r="K39" i="8"/>
  <c r="AC28" i="8"/>
  <c r="W37" i="8"/>
  <c r="AI31" i="8"/>
  <c r="W24" i="7"/>
  <c r="K32" i="7"/>
  <c r="AC39" i="8"/>
  <c r="Q18" i="8"/>
  <c r="AC36" i="8"/>
  <c r="AC34" i="7"/>
  <c r="K19" i="8"/>
  <c r="W28" i="8"/>
  <c r="AD28" i="1"/>
  <c r="Z28" i="1"/>
  <c r="Y28" i="1"/>
  <c r="AF8" i="13"/>
  <c r="Y12" i="13"/>
  <c r="AH12" i="13"/>
  <c r="AG12" i="13"/>
  <c r="E12" i="13"/>
  <c r="AF12" i="13"/>
  <c r="T12" i="13"/>
  <c r="O12" i="13"/>
  <c r="J12" i="13"/>
  <c r="AI10" i="12"/>
  <c r="AI16" i="12"/>
  <c r="AI14" i="12"/>
  <c r="AC28" i="1" l="1"/>
  <c r="AN28" i="14"/>
  <c r="AQ28" i="14" s="1"/>
  <c r="AH28" i="14"/>
  <c r="AK28" i="14" s="1"/>
  <c r="AD28" i="14"/>
  <c r="AE28" i="14" s="1"/>
  <c r="H28" i="14"/>
  <c r="M28" i="14" s="1"/>
  <c r="T28" i="14"/>
  <c r="Y28" i="14" s="1"/>
  <c r="P46" i="14"/>
  <c r="S46" i="14" s="1"/>
  <c r="AN46" i="14"/>
  <c r="AO46" i="14"/>
  <c r="AC46" i="14"/>
  <c r="AE46" i="14" s="1"/>
  <c r="H26" i="14"/>
  <c r="AN8" i="14"/>
  <c r="B44" i="14"/>
  <c r="P26" i="14"/>
  <c r="AF44" i="14"/>
  <c r="AL8" i="14"/>
  <c r="H24" i="14"/>
  <c r="AH17" i="8"/>
  <c r="AK17" i="8" s="1"/>
  <c r="J38" i="8"/>
  <c r="AJ42" i="14"/>
  <c r="K24" i="14"/>
  <c r="E24" i="14"/>
  <c r="J21" i="8"/>
  <c r="AH27" i="8"/>
  <c r="T24" i="14"/>
  <c r="J23" i="7"/>
  <c r="D17" i="7"/>
  <c r="AO42" i="14"/>
  <c r="V30" i="8"/>
  <c r="P20" i="8"/>
  <c r="E22" i="1"/>
  <c r="H22" i="1" s="1"/>
  <c r="T16" i="7"/>
  <c r="Y16" i="7" s="1"/>
  <c r="T31" i="8"/>
  <c r="Y31" i="8" s="1"/>
  <c r="T23" i="7"/>
  <c r="AF24" i="7"/>
  <c r="AK24" i="7" s="1"/>
  <c r="H32" i="7"/>
  <c r="M32" i="7" s="1"/>
  <c r="AF16" i="7"/>
  <c r="AF17" i="7"/>
  <c r="Z32" i="7"/>
  <c r="T20" i="8"/>
  <c r="N20" i="8"/>
  <c r="S20" i="8" s="1"/>
  <c r="H16" i="7"/>
  <c r="Z17" i="7"/>
  <c r="B29" i="8"/>
  <c r="G29" i="8" s="1"/>
  <c r="AF34" i="7"/>
  <c r="AL34" i="7" s="1"/>
  <c r="N17" i="8"/>
  <c r="Z30" i="8"/>
  <c r="AC6" i="14"/>
  <c r="AP42" i="14"/>
  <c r="L24" i="14"/>
  <c r="AL42" i="14"/>
  <c r="V25" i="7"/>
  <c r="Y25" i="7" s="1"/>
  <c r="V37" i="8"/>
  <c r="AJ6" i="12"/>
  <c r="G6" i="12"/>
  <c r="AA6" i="13"/>
  <c r="AJ6" i="13"/>
  <c r="H6" i="13"/>
  <c r="W6" i="13"/>
  <c r="X42" i="14"/>
  <c r="M6" i="13"/>
  <c r="V6" i="13"/>
  <c r="Q6" i="13"/>
  <c r="M6" i="12"/>
  <c r="F6" i="13"/>
  <c r="Z6" i="13"/>
  <c r="B6" i="13"/>
  <c r="AE6" i="12"/>
  <c r="AB6" i="12"/>
  <c r="R24" i="14"/>
  <c r="C6" i="12"/>
  <c r="AA6" i="12"/>
  <c r="G6" i="13"/>
  <c r="L6" i="13"/>
  <c r="AB6" i="13"/>
  <c r="AB19" i="8"/>
  <c r="AE19" i="8" s="1"/>
  <c r="J39" i="8"/>
  <c r="M39" i="8" s="1"/>
  <c r="D30" i="7"/>
  <c r="D16" i="7"/>
  <c r="G16" i="7" s="1"/>
  <c r="Q14" i="1"/>
  <c r="T14" i="1" s="1"/>
  <c r="P19" i="8"/>
  <c r="P24" i="7"/>
  <c r="S24" i="7" s="1"/>
  <c r="P15" i="7"/>
  <c r="J34" i="7"/>
  <c r="M34" i="7" s="1"/>
  <c r="V29" i="8"/>
  <c r="Y29" i="8" s="1"/>
  <c r="Q42" i="14"/>
  <c r="AI6" i="14"/>
  <c r="B24" i="14"/>
  <c r="H6" i="12"/>
  <c r="Z6" i="14"/>
  <c r="AL24" i="14"/>
  <c r="U6" i="12"/>
  <c r="T6" i="14"/>
  <c r="W6" i="12"/>
  <c r="V19" i="8"/>
  <c r="Y19" i="8" s="1"/>
  <c r="AB32" i="7"/>
  <c r="AN32" i="7" s="1"/>
  <c r="U44" i="14"/>
  <c r="O44" i="14"/>
  <c r="I44" i="14"/>
  <c r="AM26" i="14"/>
  <c r="U26" i="14"/>
  <c r="U8" i="14"/>
  <c r="Y8" i="14" s="1"/>
  <c r="C44" i="14"/>
  <c r="I26" i="14"/>
  <c r="C8" i="14"/>
  <c r="AA26" i="14"/>
  <c r="C26" i="14"/>
  <c r="O8" i="14"/>
  <c r="O26" i="14"/>
  <c r="I8" i="14"/>
  <c r="AM44" i="14"/>
  <c r="AA8" i="14"/>
  <c r="AA44" i="14"/>
  <c r="AM8" i="14"/>
  <c r="AG8" i="14"/>
  <c r="AK8" i="14" s="1"/>
  <c r="AG26" i="14"/>
  <c r="AG44" i="14"/>
  <c r="V20" i="8"/>
  <c r="X26" i="14"/>
  <c r="AB44" i="14"/>
  <c r="F26" i="14"/>
  <c r="AF26" i="14"/>
  <c r="Z26" i="14"/>
  <c r="AL26" i="14"/>
  <c r="AD8" i="14"/>
  <c r="AP44" i="14"/>
  <c r="N44" i="14"/>
  <c r="AN26" i="14"/>
  <c r="AF42" i="14"/>
  <c r="H6" i="14"/>
  <c r="R6" i="12"/>
  <c r="Z42" i="14"/>
  <c r="N42" i="14"/>
  <c r="AF6" i="14"/>
  <c r="F6" i="12"/>
  <c r="N15" i="7"/>
  <c r="AF30" i="8"/>
  <c r="AK30" i="8" s="1"/>
  <c r="B19" i="8"/>
  <c r="G19" i="8" s="1"/>
  <c r="B20" i="8"/>
  <c r="G20" i="8" s="1"/>
  <c r="Z25" i="7"/>
  <c r="AE25" i="7" s="1"/>
  <c r="B30" i="7"/>
  <c r="AL30" i="7" s="1"/>
  <c r="B18" i="8"/>
  <c r="B17" i="8"/>
  <c r="G17" i="8" s="1"/>
  <c r="N18" i="8"/>
  <c r="S18" i="8" s="1"/>
  <c r="H17" i="8"/>
  <c r="M17" i="8" s="1"/>
  <c r="B31" i="8"/>
  <c r="G31" i="8" s="1"/>
  <c r="AF15" i="7"/>
  <c r="N23" i="7"/>
  <c r="S23" i="7" s="1"/>
  <c r="Z24" i="14"/>
  <c r="B6" i="14"/>
  <c r="N6" i="14"/>
  <c r="AF24" i="14"/>
  <c r="T42" i="14"/>
  <c r="AL6" i="14"/>
  <c r="H42" i="14"/>
  <c r="AH34" i="7"/>
  <c r="V36" i="8"/>
  <c r="Y36" i="8" s="1"/>
  <c r="AH36" i="8"/>
  <c r="AK36" i="8" s="1"/>
  <c r="D27" i="8"/>
  <c r="G27" i="8" s="1"/>
  <c r="V30" i="7"/>
  <c r="P36" i="8"/>
  <c r="S36" i="8" s="1"/>
  <c r="AH29" i="8"/>
  <c r="AK29" i="8" s="1"/>
  <c r="AB39" i="8"/>
  <c r="AE39" i="8" s="1"/>
  <c r="AH15" i="7"/>
  <c r="P17" i="8"/>
  <c r="S17" i="8" s="1"/>
  <c r="J16" i="7"/>
  <c r="M16" i="7" s="1"/>
  <c r="J15" i="7"/>
  <c r="M15" i="7" s="1"/>
  <c r="AB21" i="8"/>
  <c r="AE21" i="8" s="1"/>
  <c r="D18" i="8"/>
  <c r="P38" i="8"/>
  <c r="S38" i="8" s="1"/>
  <c r="D39" i="8"/>
  <c r="G39" i="8" s="1"/>
  <c r="AE17" i="7"/>
  <c r="Y28" i="8"/>
  <c r="S27" i="8"/>
  <c r="M17" i="7"/>
  <c r="G37" i="8"/>
  <c r="G17" i="7"/>
  <c r="G21" i="8"/>
  <c r="M30" i="7"/>
  <c r="M23" i="7"/>
  <c r="M21" i="8"/>
  <c r="Y21" i="8"/>
  <c r="AE24" i="7"/>
  <c r="S17" i="7"/>
  <c r="AE23" i="7"/>
  <c r="M40" i="8"/>
  <c r="M18" i="8"/>
  <c r="S30" i="7"/>
  <c r="AE34" i="7"/>
  <c r="AE31" i="8"/>
  <c r="AK25" i="7"/>
  <c r="S31" i="8"/>
  <c r="G25" i="7"/>
  <c r="AE28" i="8"/>
  <c r="AK20" i="8"/>
  <c r="S39" i="8"/>
  <c r="G38" i="8"/>
  <c r="AK32" i="7"/>
  <c r="S30" i="8"/>
  <c r="M24" i="7"/>
  <c r="Y15" i="7"/>
  <c r="S21" i="8"/>
  <c r="Y34" i="7"/>
  <c r="AE37" i="8"/>
  <c r="Y38" i="8"/>
  <c r="M28" i="8"/>
  <c r="M19" i="8"/>
  <c r="AE29" i="8"/>
  <c r="G32" i="7"/>
  <c r="S25" i="7"/>
  <c r="G30" i="8"/>
  <c r="AE40" i="8"/>
  <c r="AK23" i="7"/>
  <c r="AK27" i="8"/>
  <c r="AK16" i="7"/>
  <c r="G24" i="7"/>
  <c r="M38" i="8"/>
  <c r="Y27" i="8"/>
  <c r="G23" i="7"/>
  <c r="Y30" i="8"/>
  <c r="G28" i="8"/>
  <c r="M25" i="7"/>
  <c r="AK38" i="8"/>
  <c r="G15" i="7"/>
  <c r="AE30" i="7"/>
  <c r="AK31" i="8"/>
  <c r="Y39" i="8"/>
  <c r="AO34" i="7"/>
  <c r="AO30" i="7"/>
  <c r="M20" i="8"/>
  <c r="AK21" i="8"/>
  <c r="S29" i="8"/>
  <c r="Y32" i="7"/>
  <c r="Y40" i="8"/>
  <c r="M31" i="8"/>
  <c r="AM30" i="7"/>
  <c r="AM32" i="7"/>
  <c r="AE30" i="8"/>
  <c r="Y24" i="7"/>
  <c r="AK39" i="8"/>
  <c r="AK28" i="8"/>
  <c r="AK37" i="8"/>
  <c r="S34" i="7"/>
  <c r="AE20" i="8"/>
  <c r="AE36" i="8"/>
  <c r="AK30" i="7"/>
  <c r="AE18" i="8"/>
  <c r="Y17" i="7"/>
  <c r="AE17" i="8"/>
  <c r="M37" i="8"/>
  <c r="S19" i="8"/>
  <c r="AA28" i="1"/>
  <c r="AK19" i="8"/>
  <c r="G40" i="8"/>
  <c r="AK17" i="7"/>
  <c r="S37" i="8"/>
  <c r="Y17" i="8"/>
  <c r="AO32" i="7"/>
  <c r="S28" i="8"/>
  <c r="AK18" i="8"/>
  <c r="AE38" i="8"/>
  <c r="S40" i="8"/>
  <c r="M30" i="8"/>
  <c r="AK40" i="8"/>
  <c r="Y37" i="8"/>
  <c r="S16" i="7"/>
  <c r="AM34" i="7"/>
  <c r="G34" i="7"/>
  <c r="G36" i="8"/>
  <c r="S32" i="7"/>
  <c r="Y23" i="7"/>
  <c r="M27" i="8"/>
  <c r="M36" i="8"/>
  <c r="AE15" i="7"/>
  <c r="M29" i="8"/>
  <c r="AI12" i="13"/>
  <c r="AB28" i="1"/>
  <c r="AQ8" i="14" l="1"/>
  <c r="AQ46" i="14"/>
  <c r="AK34" i="7"/>
  <c r="AE32" i="7"/>
  <c r="AL32" i="7"/>
  <c r="AQ32" i="7" s="1"/>
  <c r="AN30" i="7"/>
  <c r="AQ30" i="7" s="1"/>
  <c r="G26" i="14"/>
  <c r="Y30" i="7"/>
  <c r="S15" i="7"/>
  <c r="AG6" i="12"/>
  <c r="Y20" i="8"/>
  <c r="AK15" i="7"/>
  <c r="AN34" i="7"/>
  <c r="AQ34" i="7" s="1"/>
  <c r="G18" i="8"/>
  <c r="AF6" i="13"/>
  <c r="AQ44" i="14"/>
  <c r="Y26" i="14"/>
  <c r="G30" i="7"/>
  <c r="C10" i="13" l="1"/>
  <c r="AK10" i="13"/>
  <c r="W10" i="13"/>
  <c r="F10" i="13"/>
  <c r="AJ10" i="13"/>
  <c r="AA10" i="13"/>
  <c r="P10" i="13"/>
  <c r="V10" i="13"/>
  <c r="U10" i="13"/>
  <c r="N10" i="13"/>
  <c r="B10" i="13"/>
  <c r="AB10" i="13"/>
  <c r="Q10" i="13"/>
  <c r="G10" i="13"/>
  <c r="M10" i="13"/>
  <c r="R10" i="13"/>
  <c r="AC10" i="13"/>
  <c r="K10" i="13"/>
  <c r="I10" i="13"/>
  <c r="S10" i="13"/>
  <c r="M8" i="13"/>
  <c r="O8" i="13" s="1"/>
  <c r="C8" i="13"/>
  <c r="W8" i="12"/>
  <c r="Y8" i="12" s="1"/>
  <c r="H8" i="13"/>
  <c r="J8" i="13" s="1"/>
  <c r="R8" i="12"/>
  <c r="T8" i="12" s="1"/>
  <c r="H8" i="12"/>
  <c r="J8" i="12" s="1"/>
  <c r="AB8" i="13"/>
  <c r="AD8" i="13" s="1"/>
  <c r="C8" i="12"/>
  <c r="R8" i="13"/>
  <c r="T8" i="13" s="1"/>
  <c r="M8" i="12"/>
  <c r="O8" i="12" s="1"/>
  <c r="AB8" i="12"/>
  <c r="AD8" i="12" s="1"/>
  <c r="W8" i="13"/>
  <c r="Y8" i="13" s="1"/>
  <c r="D44" i="14"/>
  <c r="G44" i="14" s="1"/>
  <c r="Z8" i="14"/>
  <c r="AP26" i="14"/>
  <c r="AQ26" i="14" s="1"/>
  <c r="N26" i="14"/>
  <c r="S26" i="14" s="1"/>
  <c r="H44" i="14"/>
  <c r="AD26" i="14"/>
  <c r="AE26" i="14" s="1"/>
  <c r="P8" i="14"/>
  <c r="S8" i="14" s="1"/>
  <c r="R44" i="14"/>
  <c r="S44" i="14" s="1"/>
  <c r="AJ44" i="14"/>
  <c r="H8" i="14"/>
  <c r="M8" i="14" s="1"/>
  <c r="X44" i="14"/>
  <c r="Y44" i="14" s="1"/>
  <c r="E8" i="14"/>
  <c r="AJ26" i="14"/>
  <c r="AK26" i="14" s="1"/>
  <c r="AH44" i="14"/>
  <c r="J44" i="14"/>
  <c r="J26" i="14"/>
  <c r="M26" i="14" s="1"/>
  <c r="AC8" i="14"/>
  <c r="F8" i="14"/>
  <c r="AC44" i="14"/>
  <c r="AE44" i="14" s="1"/>
  <c r="X6" i="13"/>
  <c r="Y6" i="13" s="1"/>
  <c r="N6" i="12"/>
  <c r="X6" i="12"/>
  <c r="S6" i="12"/>
  <c r="AC6" i="13"/>
  <c r="AD6" i="13" s="1"/>
  <c r="D6" i="13"/>
  <c r="D6" i="12"/>
  <c r="I6" i="13"/>
  <c r="J6" i="13" s="1"/>
  <c r="S6" i="13"/>
  <c r="AC6" i="12"/>
  <c r="AD6" i="12" s="1"/>
  <c r="C6" i="13"/>
  <c r="U6" i="13"/>
  <c r="R6" i="13"/>
  <c r="T6" i="13" s="1"/>
  <c r="B42" i="14"/>
  <c r="I6" i="12"/>
  <c r="J6" i="12" s="1"/>
  <c r="N6" i="13"/>
  <c r="O6" i="13" s="1"/>
  <c r="R6" i="14"/>
  <c r="AI42" i="14"/>
  <c r="AO24" i="14"/>
  <c r="L6" i="12"/>
  <c r="K6" i="14"/>
  <c r="K6" i="12"/>
  <c r="L6" i="14"/>
  <c r="V6" i="12"/>
  <c r="P6" i="13"/>
  <c r="AD24" i="14"/>
  <c r="L42" i="14"/>
  <c r="X24" i="14"/>
  <c r="AE6" i="13"/>
  <c r="F42" i="14"/>
  <c r="O10" i="13" l="1"/>
  <c r="Y10" i="13"/>
  <c r="AH10" i="13"/>
  <c r="E10" i="13"/>
  <c r="AF10" i="13"/>
  <c r="AD10" i="13"/>
  <c r="M44" i="14"/>
  <c r="T10" i="13"/>
  <c r="G8" i="14"/>
  <c r="AG8" i="12"/>
  <c r="AI8" i="12" s="1"/>
  <c r="E8" i="12"/>
  <c r="Y6" i="12"/>
  <c r="AK44" i="14"/>
  <c r="AE8" i="14"/>
  <c r="E8" i="13"/>
  <c r="AG8" i="13"/>
  <c r="AI8" i="13" s="1"/>
  <c r="O6" i="12"/>
  <c r="AG6" i="13"/>
  <c r="E6" i="13"/>
  <c r="AH6" i="12"/>
  <c r="AH6" i="13"/>
  <c r="AI6" i="13" l="1"/>
  <c r="F14" i="13" l="1"/>
  <c r="N14" i="13"/>
  <c r="Q14" i="13"/>
  <c r="AO6" i="14"/>
  <c r="AH42" i="14"/>
  <c r="V42" i="14"/>
  <c r="P24" i="14"/>
  <c r="D6" i="14"/>
  <c r="AC24" i="14"/>
  <c r="AN24" i="14"/>
  <c r="J42" i="14"/>
  <c r="D24" i="14"/>
  <c r="AK6" i="13"/>
  <c r="AK6" i="12"/>
  <c r="E6" i="14"/>
  <c r="W42" i="14"/>
  <c r="J24" i="14"/>
  <c r="AJ6" i="14"/>
  <c r="AI24" i="14"/>
  <c r="AG42" i="14"/>
  <c r="AG6" i="14"/>
  <c r="O6" i="14"/>
  <c r="S6" i="14" s="1"/>
  <c r="C24" i="14"/>
  <c r="U24" i="14"/>
  <c r="Y24" i="14" s="1"/>
  <c r="I24" i="14"/>
  <c r="AA6" i="14"/>
  <c r="AA24" i="14"/>
  <c r="AM42" i="14"/>
  <c r="AQ42" i="14" s="1"/>
  <c r="C42" i="14"/>
  <c r="G42" i="14" s="1"/>
  <c r="I42" i="14"/>
  <c r="O42" i="14"/>
  <c r="I6" i="14"/>
  <c r="M6" i="14" s="1"/>
  <c r="C6" i="14"/>
  <c r="AA42" i="14"/>
  <c r="AG24" i="14"/>
  <c r="AM24" i="14"/>
  <c r="U42" i="14"/>
  <c r="O24" i="14"/>
  <c r="U6" i="14"/>
  <c r="AJ24" i="14"/>
  <c r="B6" i="12"/>
  <c r="Q6" i="12"/>
  <c r="T6" i="12" s="1"/>
  <c r="AD6" i="14"/>
  <c r="K6" i="13"/>
  <c r="R42" i="14"/>
  <c r="P6" i="12"/>
  <c r="AP6" i="14"/>
  <c r="X6" i="14"/>
  <c r="F24" i="14"/>
  <c r="AM6" i="14"/>
  <c r="Q24" i="14"/>
  <c r="AC42" i="14"/>
  <c r="F6" i="14"/>
  <c r="Y42" i="14" l="1"/>
  <c r="M24" i="14"/>
  <c r="AK6" i="14"/>
  <c r="AQ6" i="14"/>
  <c r="AQ24" i="14"/>
  <c r="M42" i="14"/>
  <c r="AK42" i="14"/>
  <c r="AE24" i="14"/>
  <c r="Y6" i="14"/>
  <c r="AK24" i="14"/>
  <c r="S42" i="14"/>
  <c r="G24" i="14"/>
  <c r="AE42" i="14"/>
  <c r="AE6" i="14"/>
  <c r="AF6" i="12"/>
  <c r="AI6" i="12" s="1"/>
  <c r="E6" i="12"/>
  <c r="G6" i="14"/>
  <c r="B415" i="3" a="1"/>
  <c r="A102" i="3" a="1"/>
  <c r="E166" i="3" a="1"/>
  <c r="F474" i="3" a="1"/>
  <c r="B69" i="3" a="1"/>
  <c r="E177" i="3" a="1"/>
  <c r="C451" i="3" a="1"/>
  <c r="D226" i="3" a="1"/>
  <c r="F129" i="3" a="1"/>
  <c r="C174" i="3" a="1"/>
  <c r="C468" i="3" a="1"/>
  <c r="D15" i="3" a="1"/>
  <c r="D530" i="3" a="1"/>
  <c r="D70" i="3" a="1"/>
  <c r="F234" i="3" a="1"/>
  <c r="C361" i="3" a="1"/>
  <c r="B15" i="3" a="1"/>
  <c r="E128" i="3" a="1"/>
  <c r="F128" i="3" a="1"/>
  <c r="D238" i="3" a="1"/>
  <c r="F395" i="3" a="1"/>
  <c r="D50" i="3" a="1"/>
  <c r="C101" i="3" a="1"/>
  <c r="A281" i="3" a="1"/>
  <c r="C202" i="3" a="1"/>
  <c r="C364" i="3" a="1"/>
  <c r="D104" i="3" a="1"/>
  <c r="F112" i="3" a="1"/>
  <c r="C85" i="3" a="1"/>
  <c r="E105" i="3" a="1"/>
  <c r="B85" i="3" a="1"/>
  <c r="E209" i="3" a="1"/>
  <c r="C235" i="3" a="1"/>
  <c r="A78" i="3" a="1"/>
  <c r="C129" i="3" a="1"/>
  <c r="A75" i="3" a="1"/>
  <c r="C476" i="3" a="1"/>
  <c r="B95" i="3" a="1"/>
  <c r="B370" i="3" a="1"/>
  <c r="A196" i="3" a="1"/>
  <c r="B226" i="3" a="1"/>
  <c r="B211" i="3" a="1"/>
  <c r="D210" i="3" a="1"/>
  <c r="E402" i="3" a="1"/>
  <c r="E302" i="3" a="1"/>
  <c r="E95" i="3" a="1"/>
  <c r="A253" i="3" a="1"/>
  <c r="A351" i="3" a="1"/>
  <c r="B232" i="3" a="1"/>
  <c r="F74" i="3" a="1"/>
  <c r="B110" i="3" a="1"/>
  <c r="E76" i="3" a="1"/>
  <c r="A200" i="3" a="1"/>
  <c r="B292" i="3" a="1"/>
  <c r="D458" i="3" a="1"/>
  <c r="D32" i="3" a="1"/>
  <c r="C4" i="3" a="1"/>
  <c r="A843" i="3" a="1"/>
  <c r="B369" i="3" a="1"/>
  <c r="D514" i="3" a="1"/>
  <c r="E252" i="3" a="1"/>
  <c r="A56" i="3" a="1"/>
  <c r="E293" i="3" a="1"/>
  <c r="A64" i="3" a="1"/>
  <c r="A266" i="3" a="1"/>
  <c r="C192" i="3" a="1"/>
  <c r="B308" i="3" a="1"/>
  <c r="F84" i="3" a="1"/>
  <c r="B175" i="3" a="1"/>
  <c r="B397" i="3" a="1"/>
  <c r="A218" i="3" a="1"/>
  <c r="D256" i="3" a="1"/>
  <c r="B127" i="3" a="1"/>
  <c r="B614" i="3" a="1"/>
  <c r="C48" i="3" a="1"/>
  <c r="A494" i="3" a="1"/>
  <c r="D2" i="3" a="1"/>
  <c r="D141" i="3" a="1"/>
  <c r="D205" i="3" a="1"/>
  <c r="B86" i="3" a="1"/>
  <c r="B227" i="3" a="1"/>
  <c r="F303" i="3" a="1"/>
  <c r="E179" i="3" a="1"/>
  <c r="C360" i="3" a="1"/>
  <c r="A15" i="3" a="1"/>
  <c r="D438" i="3" a="1"/>
  <c r="F98" i="3" a="1"/>
  <c r="F132" i="3" a="1"/>
  <c r="D305" i="3" a="1"/>
  <c r="A10" i="3" a="1"/>
  <c r="F197" i="3" a="1"/>
  <c r="E283" i="3" a="1"/>
  <c r="A541" i="3" a="1"/>
  <c r="E438" i="3" a="1"/>
  <c r="C251" i="3" a="1"/>
  <c r="F461" i="3" a="1"/>
  <c r="E558" i="3" a="1"/>
  <c r="B22" i="3" a="1"/>
  <c r="B158" i="3" a="1"/>
  <c r="C88" i="3" a="1"/>
  <c r="F91" i="3" a="1"/>
  <c r="D27" i="3" a="1"/>
  <c r="D545" i="3" a="1"/>
  <c r="A61" i="3" a="1"/>
  <c r="E424" i="3" a="1"/>
  <c r="D22" i="3" a="1"/>
  <c r="D114" i="3" a="1"/>
  <c r="E112" i="3" a="1"/>
  <c r="F28" i="3" a="1"/>
  <c r="A259" i="3" a="1"/>
  <c r="B34" i="3" a="1"/>
  <c r="B134" i="3" a="1"/>
  <c r="E20" i="3" a="1"/>
  <c r="E301" i="3" a="1"/>
  <c r="F441" i="3" a="1"/>
  <c r="A285" i="3" a="1"/>
  <c r="E126" i="3" a="1"/>
  <c r="D221" i="3" a="1"/>
  <c r="F285" i="3" a="1"/>
  <c r="C95" i="3" a="1"/>
  <c r="D315" i="3" a="1"/>
  <c r="F123" i="3" a="1"/>
  <c r="D38" i="3" a="1"/>
  <c r="E164" i="3" a="1"/>
  <c r="C18" i="3" a="1"/>
  <c r="D80" i="3" a="1"/>
  <c r="D250" i="3" a="1"/>
  <c r="A294" i="3" a="1"/>
  <c r="D45" i="3" a="1"/>
  <c r="B216" i="3" a="1"/>
  <c r="B123" i="3" a="1"/>
  <c r="F5" i="3" a="1"/>
  <c r="E132" i="3" a="1"/>
  <c r="E385" i="3" a="1"/>
  <c r="F609" i="3" a="1"/>
  <c r="F90" i="3" a="1"/>
  <c r="D355" i="3" a="1"/>
  <c r="D63" i="3" a="1"/>
  <c r="E553" i="3" a="1"/>
  <c r="C60" i="3" a="1"/>
  <c r="B343" i="3" a="1"/>
  <c r="C307" i="3" a="1"/>
  <c r="D277" i="3" a="1"/>
  <c r="F52" i="3" a="1"/>
  <c r="B610" i="3" a="1"/>
  <c r="D16" i="3" a="1"/>
  <c r="E432" i="3" a="1"/>
  <c r="C177" i="3" a="1"/>
  <c r="C189" i="3" a="1"/>
  <c r="B323" i="3" a="1"/>
  <c r="B507" i="3" a="1"/>
  <c r="C104" i="3" a="1"/>
  <c r="A209" i="3" a="1"/>
  <c r="C308" i="3" a="1"/>
  <c r="E26" i="3" a="1"/>
  <c r="A160" i="3" a="1"/>
  <c r="F13" i="3" a="1"/>
  <c r="B150" i="3" a="1"/>
  <c r="A422" i="3" a="1"/>
  <c r="A23" i="3" a="1"/>
  <c r="C371" i="3" a="1"/>
  <c r="B266" i="3" a="1"/>
  <c r="D483" i="3" a="1"/>
  <c r="A299" i="3" a="1"/>
  <c r="D92" i="3" a="1"/>
  <c r="C103" i="3" a="1"/>
  <c r="E123" i="3" a="1"/>
  <c r="E172" i="3" a="1"/>
  <c r="E521" i="3" a="1"/>
  <c r="C325" i="3" a="1"/>
  <c r="D543" i="3" a="1"/>
  <c r="E53" i="3" a="1"/>
  <c r="C338" i="3" a="1"/>
  <c r="D136" i="3" a="1"/>
  <c r="F364" i="3" a="1"/>
  <c r="C27" i="3" a="1"/>
  <c r="D373" i="3" a="1"/>
  <c r="B29" i="3" a="1"/>
  <c r="C286" i="3" a="1"/>
  <c r="F175" i="3" a="1"/>
  <c r="B261" i="3" a="1"/>
  <c r="B6" i="3" a="1"/>
  <c r="E244" i="3" a="1"/>
  <c r="A144" i="3" a="1"/>
  <c r="B78" i="3" a="1"/>
  <c r="A314" i="3" a="1"/>
  <c r="A13" i="3" a="1"/>
  <c r="E114" i="3" a="1"/>
  <c r="B119" i="3" a="1"/>
  <c r="B77" i="3" a="1"/>
  <c r="E204" i="3" a="1"/>
  <c r="A446" i="3" a="1"/>
  <c r="C316" i="3" a="1"/>
  <c r="C170" i="3" a="1"/>
  <c r="D158" i="3" a="1"/>
  <c r="E49" i="3" a="1"/>
  <c r="C342" i="3" a="1"/>
  <c r="C91" i="3" a="1"/>
  <c r="A560" i="3" a="1"/>
  <c r="C334" i="3" a="1"/>
  <c r="C343" i="3" a="1"/>
  <c r="E369" i="3" a="1"/>
  <c r="D13" i="3" a="1"/>
  <c r="E284" i="3" a="1"/>
  <c r="E101" i="3" a="1"/>
  <c r="B276" i="3" a="1"/>
  <c r="B18" i="3" a="1"/>
  <c r="D524" i="3" a="1"/>
  <c r="E502" i="3" a="1"/>
  <c r="E86" i="3" a="1"/>
  <c r="B121" i="3" a="1"/>
  <c r="E2" i="3" a="1"/>
  <c r="F427" i="3" a="1"/>
  <c r="E113" i="3" a="1"/>
  <c r="D84" i="3" a="1"/>
  <c r="A280" i="3" a="1"/>
  <c r="C81" i="3" a="1"/>
  <c r="A17" i="3" a="1"/>
  <c r="F102" i="3" a="1"/>
  <c r="F99" i="3" a="1"/>
  <c r="B210" i="3" a="1"/>
  <c r="B206" i="3" a="1"/>
  <c r="C388" i="3" a="1"/>
  <c r="C1090" i="3" a="1"/>
  <c r="A51" i="3" a="1"/>
  <c r="B720" i="3" a="1"/>
  <c r="E148" i="3" a="1"/>
  <c r="C90" i="3" a="1"/>
  <c r="A208" i="3" a="1"/>
  <c r="A539" i="3" a="1"/>
  <c r="B73" i="3" a="1"/>
  <c r="D89" i="3" a="1"/>
  <c r="F156" i="3" a="1"/>
  <c r="B132" i="3" a="1"/>
  <c r="B115" i="3" a="1"/>
  <c r="B185" i="3" a="1"/>
  <c r="D49" i="3" a="1"/>
  <c r="E265" i="3" a="1"/>
  <c r="C63" i="3" a="1"/>
  <c r="D312" i="3" a="1"/>
  <c r="D58" i="3" a="1"/>
  <c r="F476" i="3" a="1"/>
  <c r="E544" i="3" a="1"/>
  <c r="A271" i="3" a="1"/>
  <c r="A152" i="3" a="1"/>
  <c r="B10" i="3" a="1"/>
  <c r="A313" i="3" a="1"/>
  <c r="A216" i="3" a="1"/>
  <c r="B130" i="3" a="1"/>
  <c r="F358" i="3" a="1"/>
  <c r="E276" i="3" a="1"/>
  <c r="F149" i="3" a="1"/>
  <c r="C386" i="3" a="1"/>
  <c r="C122" i="3" a="1"/>
  <c r="F75" i="3" a="1"/>
  <c r="F240" i="3" a="1"/>
  <c r="B601" i="3" a="1"/>
  <c r="A166" i="3" a="1"/>
  <c r="A67" i="3" a="1"/>
  <c r="E213" i="3" a="1"/>
  <c r="E676" i="3" a="1"/>
  <c r="A260" i="3" a="1"/>
  <c r="D258" i="3" a="1"/>
  <c r="C20" i="3" a="1"/>
  <c r="A165" i="3" a="1"/>
  <c r="F27" i="3" a="1"/>
  <c r="C352" i="3" a="1"/>
  <c r="A132" i="3" a="1"/>
  <c r="E343" i="3" a="1"/>
  <c r="E360" i="3" a="1"/>
  <c r="F307" i="3" a="1"/>
  <c r="A179" i="3" a="1"/>
  <c r="B179" i="3" a="1"/>
  <c r="A578" i="3" a="1"/>
  <c r="F271" i="3" a="1"/>
  <c r="D48" i="3" a="1"/>
  <c r="E178" i="3" a="1"/>
  <c r="A3" i="3" a="1"/>
  <c r="C347" i="3" a="1"/>
  <c r="C223" i="3" a="1"/>
  <c r="A28" i="3" a="1"/>
  <c r="A21" i="3" a="1"/>
  <c r="F21" i="3" a="1"/>
  <c r="C44" i="3" a="1"/>
  <c r="C11" i="3" a="1"/>
  <c r="B57" i="3" a="1"/>
  <c r="A77" i="3" a="1"/>
  <c r="A289" i="3" a="1"/>
  <c r="C2" i="3" a="1"/>
  <c r="F14" i="3" a="1"/>
  <c r="E393" i="3" a="1"/>
  <c r="E169" i="3" a="1"/>
  <c r="D193" i="3" a="1"/>
  <c r="D7" i="3" a="1"/>
  <c r="A471" i="3" a="1"/>
  <c r="E214" i="3" a="1"/>
  <c r="B224" i="3" a="1"/>
  <c r="F293" i="3" a="1"/>
  <c r="B2" i="3" a="1"/>
  <c r="C32" i="3" a="1"/>
  <c r="E138" i="3" a="1"/>
  <c r="A54" i="3" a="1"/>
  <c r="B92" i="3" a="1"/>
  <c r="B219" i="3" a="1"/>
  <c r="C29" i="3" a="1"/>
  <c r="A81" i="3" a="1"/>
  <c r="E289" i="3" a="1"/>
  <c r="E476" i="3" a="1"/>
  <c r="C216" i="3" a="1"/>
  <c r="A423" i="3" a="1"/>
  <c r="A388" i="3" a="1"/>
  <c r="E260" i="3" a="1"/>
  <c r="E151" i="3" a="1"/>
  <c r="F368" i="3" a="1"/>
  <c r="B80" i="3" a="1"/>
  <c r="A4" i="3" a="1"/>
  <c r="B288" i="3" a="1"/>
  <c r="C120" i="3" a="1"/>
  <c r="E44" i="3" a="1"/>
  <c r="F333" i="3" a="1"/>
  <c r="D173" i="3" a="1"/>
  <c r="B104" i="3" a="1"/>
  <c r="C163" i="3" a="1"/>
  <c r="E368" i="3" a="1"/>
  <c r="B44" i="3" a="1"/>
  <c r="B411" i="3" a="1"/>
  <c r="D361" i="3" a="1"/>
  <c r="F59" i="3" a="1"/>
  <c r="F656" i="3" a="1"/>
  <c r="C292" i="3" a="1"/>
  <c r="F957" i="3" a="1"/>
  <c r="E488" i="3" a="1"/>
  <c r="C213" i="3" a="1"/>
  <c r="E93" i="3" a="1"/>
  <c r="A24" i="3" a="1"/>
  <c r="A45" i="3" a="1"/>
  <c r="E156" i="3" a="1"/>
  <c r="A247" i="3" a="1"/>
  <c r="A123" i="3" a="1"/>
  <c r="D91" i="3" a="1"/>
  <c r="E731" i="3" a="1"/>
  <c r="E347" i="3" a="1"/>
  <c r="A464" i="3" a="1"/>
  <c r="E312" i="3" a="1"/>
  <c r="E110" i="3" a="1"/>
  <c r="D125" i="3" a="1"/>
  <c r="C167" i="3" a="1"/>
  <c r="C271" i="3" a="1"/>
  <c r="C270" i="3" a="1"/>
  <c r="F315" i="3" a="1"/>
  <c r="B172" i="3" a="1"/>
  <c r="B492" i="3" a="1"/>
  <c r="B481" i="3" a="1"/>
  <c r="D245" i="3" a="1"/>
  <c r="E186" i="3" a="1"/>
  <c r="E319" i="3" a="1"/>
  <c r="B215" i="3" a="1"/>
  <c r="C396" i="3" a="1"/>
  <c r="C281" i="3" a="1"/>
  <c r="F131" i="3" a="1"/>
  <c r="E224" i="3" a="1"/>
  <c r="D381" i="3" a="1"/>
  <c r="E29" i="3" a="1"/>
  <c r="E383" i="3" a="1"/>
  <c r="A190" i="3" a="1"/>
  <c r="B504" i="3" a="1"/>
  <c r="E225" i="3" a="1"/>
  <c r="C374" i="3" a="1"/>
  <c r="E66" i="3" a="1"/>
  <c r="A1026" i="3" a="1"/>
  <c r="F203" i="3" a="1"/>
  <c r="B20" i="3" a="1"/>
  <c r="C31" i="3" a="1"/>
  <c r="C121" i="3" a="1"/>
  <c r="D231" i="3" a="1"/>
  <c r="A277" i="3" a="1"/>
  <c r="F338" i="3" a="1"/>
  <c r="F287" i="3" a="1"/>
  <c r="D391" i="3" a="1"/>
  <c r="E355" i="3" a="1"/>
  <c r="D3" i="3" a="1"/>
  <c r="E149" i="3" a="1"/>
  <c r="A343" i="3" a="1"/>
  <c r="B48" i="3" a="1"/>
  <c r="E94" i="3" a="1"/>
  <c r="E279" i="3" a="1"/>
  <c r="E464" i="3" a="1"/>
  <c r="C282" i="3" a="1"/>
  <c r="B478" i="3" a="1"/>
  <c r="E127" i="3" a="1"/>
  <c r="A291" i="3" a="1"/>
  <c r="F72" i="3" a="1"/>
  <c r="B463" i="3" a="1"/>
  <c r="B240" i="3" a="1"/>
  <c r="A116" i="3" a="1"/>
  <c r="C21" i="3" a="1"/>
  <c r="E102" i="3" a="1"/>
  <c r="D24" i="3" a="1"/>
  <c r="B690" i="3" a="1"/>
  <c r="B108" i="3" a="1"/>
  <c r="F204" i="3" a="1"/>
  <c r="D146" i="3" a="1"/>
  <c r="F147" i="3" a="1"/>
  <c r="D386" i="3" a="1"/>
  <c r="E525" i="3" a="1"/>
  <c r="D202" i="3" a="1"/>
  <c r="C142" i="3" a="1"/>
  <c r="C80" i="3" a="1"/>
  <c r="A135" i="3" a="1"/>
  <c r="F242" i="3" a="1"/>
  <c r="D189" i="3" a="1"/>
  <c r="A278" i="3" a="1"/>
  <c r="B43" i="3" a="1"/>
  <c r="C105" i="3" a="1"/>
  <c r="F30" i="3" a="1"/>
  <c r="F64" i="3" a="1"/>
  <c r="F127" i="3" a="1"/>
  <c r="D1335" i="3" a="1"/>
  <c r="C416" i="3" a="1"/>
  <c r="F61" i="3" a="1"/>
  <c r="C37" i="3" a="1"/>
  <c r="B691" i="3" a="1"/>
  <c r="A884" i="3" a="1"/>
  <c r="D25" i="3" a="1"/>
  <c r="B67" i="3" a="1"/>
  <c r="A50" i="3" a="1"/>
  <c r="B549" i="3" a="1"/>
  <c r="B272" i="3" a="1"/>
  <c r="D132" i="3" a="1"/>
  <c r="F431" i="3" a="1"/>
  <c r="D660" i="3" a="1"/>
  <c r="E236" i="3" a="1"/>
  <c r="C161" i="3" a="1"/>
  <c r="A175" i="3" a="1"/>
  <c r="F68" i="3" a="1"/>
  <c r="F54" i="3" a="1"/>
  <c r="A497" i="3" a="1"/>
  <c r="A527" i="3" a="1"/>
  <c r="E16" i="3" a="1"/>
  <c r="F261" i="3" a="1"/>
  <c r="E313" i="3" a="1"/>
  <c r="F340" i="3" a="1"/>
  <c r="C658" i="3" a="1"/>
  <c r="D1147" i="3" a="1"/>
  <c r="D940" i="3" a="1"/>
  <c r="A347" i="3" a="1"/>
  <c r="D129" i="3" a="1"/>
  <c r="A318" i="3" a="1"/>
  <c r="C787" i="3" a="1"/>
  <c r="A89" i="3" a="1"/>
  <c r="C125" i="3" a="1"/>
  <c r="C46" i="3" a="1"/>
  <c r="F83" i="3" a="1"/>
  <c r="D166" i="3" a="1"/>
  <c r="D255" i="3" a="1"/>
  <c r="D17" i="3" a="1"/>
  <c r="A1265" i="3" a="1"/>
  <c r="E195" i="3" a="1"/>
  <c r="E812" i="3" a="1"/>
  <c r="B783" i="3" a="1"/>
  <c r="C118" i="3" a="1"/>
  <c r="F314" i="3" a="1"/>
  <c r="F661" i="3" a="1"/>
  <c r="E52" i="3" a="1"/>
  <c r="F302" i="3" a="1"/>
  <c r="E152" i="3" a="1"/>
  <c r="E706" i="3" a="1"/>
  <c r="C56" i="3" a="1"/>
  <c r="E482" i="3" a="1"/>
  <c r="F138" i="3" a="1"/>
  <c r="E59" i="3" a="1"/>
  <c r="C150" i="3" a="1"/>
  <c r="B352" i="3" a="1"/>
  <c r="C14" i="3" a="1"/>
  <c r="F348" i="3" a="1"/>
  <c r="A489" i="3" a="1"/>
  <c r="C857" i="3" a="1"/>
  <c r="E234" i="3" a="1"/>
  <c r="D488" i="3" a="1"/>
  <c r="F230" i="3" a="1"/>
  <c r="C648" i="3" a="1"/>
  <c r="E358" i="3" a="1"/>
  <c r="A44" i="3" a="1"/>
  <c r="D343" i="3" a="1"/>
  <c r="D12" i="3" a="1"/>
  <c r="D430" i="3" a="1"/>
  <c r="C263" i="3" a="1"/>
  <c r="C35" i="3" a="1"/>
  <c r="D360" i="3" a="1"/>
  <c r="E115" i="3" a="1"/>
  <c r="A341" i="3" a="1"/>
  <c r="A136" i="3" a="1"/>
  <c r="A29" i="3" a="1"/>
  <c r="E100" i="3" a="1"/>
  <c r="E180" i="3" a="1"/>
  <c r="A592" i="3" a="1"/>
  <c r="E34" i="3" a="1"/>
  <c r="A12" i="3" a="1"/>
  <c r="F255" i="3" a="1"/>
  <c r="C584" i="3" a="1"/>
  <c r="F86" i="3" a="1"/>
  <c r="C106" i="3" a="1"/>
  <c r="F269" i="3" a="1"/>
  <c r="E133" i="3" a="1"/>
  <c r="B486" i="3" a="1"/>
  <c r="F1036" i="3" a="1"/>
  <c r="E969" i="3" a="1"/>
  <c r="B518" i="3" a="1"/>
  <c r="B65" i="3" a="1"/>
  <c r="F18" i="3" a="1"/>
  <c r="B372" i="3" a="1"/>
  <c r="E27" i="3" a="1"/>
  <c r="A348" i="3" a="1"/>
  <c r="A316" i="3" a="1"/>
  <c r="E366" i="3" a="1"/>
  <c r="E55" i="3" a="1"/>
  <c r="C24" i="3" a="1"/>
  <c r="B242" i="3" a="1"/>
  <c r="D346" i="3" a="1"/>
  <c r="D178" i="3" a="1"/>
  <c r="F151" i="3" a="1"/>
  <c r="D28" i="3" a="1"/>
  <c r="D709" i="3" a="1"/>
  <c r="D828" i="3" a="1"/>
  <c r="D538" i="3" a="1"/>
  <c r="D215" i="3" a="1"/>
  <c r="C259" i="3" a="1"/>
  <c r="B49" i="3" a="1"/>
  <c r="F270" i="3" a="1"/>
  <c r="E266" i="3" a="1"/>
  <c r="E10" i="3" a="1"/>
  <c r="D287" i="3" a="1"/>
  <c r="E158" i="3" a="1"/>
  <c r="F12" i="3" a="1"/>
  <c r="F31" i="3" a="1"/>
  <c r="A22" i="3" a="1"/>
  <c r="D115" i="3" a="1"/>
  <c r="C17" i="3" a="1"/>
  <c r="F47" i="3" a="1"/>
  <c r="A221" i="3" a="1"/>
  <c r="E8" i="3" a="1"/>
  <c r="C267" i="3" a="1"/>
  <c r="F50" i="3" a="1"/>
  <c r="F122" i="3" a="1"/>
  <c r="E590" i="3" a="1"/>
  <c r="A303" i="3" a="1"/>
  <c r="B334" i="3" a="1"/>
  <c r="D453" i="3" a="1"/>
  <c r="E394" i="3" a="1"/>
  <c r="E454" i="3" a="1"/>
  <c r="E518" i="3" a="1"/>
  <c r="E310" i="3" a="1"/>
  <c r="F410" i="3" a="1"/>
  <c r="C389" i="3" a="1"/>
  <c r="F164" i="3" a="1"/>
  <c r="E167" i="3" a="1"/>
  <c r="F436" i="3" a="1"/>
  <c r="B900" i="3" a="1"/>
  <c r="F463" i="3" a="1"/>
  <c r="A396" i="3" a="1"/>
  <c r="F174" i="3" a="1"/>
  <c r="B260" i="3" a="1"/>
  <c r="B63" i="3" a="1"/>
  <c r="C405" i="3" a="1"/>
  <c r="E51" i="3" a="1"/>
  <c r="A327" i="3" a="1"/>
  <c r="C273" i="3" a="1"/>
  <c r="B82" i="3" a="1"/>
  <c r="A236" i="3" a="1"/>
  <c r="E441" i="3" a="1"/>
  <c r="E88" i="3" a="1"/>
  <c r="D308" i="3" a="1"/>
  <c r="B497" i="3" a="1"/>
  <c r="B221" i="3" a="1"/>
  <c r="F29" i="3" a="1"/>
  <c r="D75" i="3" a="1"/>
  <c r="C12" i="3" a="1"/>
  <c r="E379" i="3" a="1"/>
  <c r="A11" i="3" a="1"/>
  <c r="E61" i="3" a="1"/>
  <c r="E38" i="3" a="1"/>
  <c r="B393" i="3" a="1"/>
  <c r="D301" i="3" a="1"/>
  <c r="E28" i="3" a="1"/>
  <c r="D860" i="3" a="1"/>
  <c r="F160" i="3" a="1"/>
  <c r="F264" i="3" a="1"/>
  <c r="B527" i="3" a="1"/>
  <c r="F1053" i="3" a="1"/>
  <c r="B183" i="3" a="1"/>
  <c r="B1039" i="3" a="1"/>
  <c r="E442" i="3" a="1"/>
  <c r="A92" i="3" a="1"/>
  <c r="E163" i="3" a="1"/>
  <c r="C179" i="3" a="1"/>
  <c r="A505" i="3" a="1"/>
  <c r="E982" i="3" a="1"/>
  <c r="A158" i="3" a="1"/>
  <c r="C76" i="3" a="1"/>
  <c r="F379" i="3" a="1"/>
  <c r="E109" i="3" a="1"/>
  <c r="B91" i="3" a="1"/>
  <c r="D408" i="3" a="1"/>
  <c r="F67" i="3" a="1"/>
  <c r="B58" i="3" a="1"/>
  <c r="E165" i="3" a="1"/>
  <c r="E19" i="3" a="1"/>
  <c r="F167" i="3" a="1"/>
  <c r="D65" i="3" a="1"/>
  <c r="C135" i="3" a="1"/>
  <c r="F192" i="3" a="1"/>
  <c r="C36" i="3" a="1"/>
  <c r="A283" i="3" a="1"/>
  <c r="B28" i="3" a="1"/>
  <c r="A32" i="3" a="1"/>
  <c r="F16" i="3" a="1"/>
  <c r="F179" i="3" a="1"/>
  <c r="C472" i="3" a="1"/>
  <c r="B76" i="3" a="1"/>
  <c r="C194" i="3" a="1"/>
  <c r="B164" i="3" a="1"/>
  <c r="F152" i="3" a="1"/>
  <c r="D314" i="3" a="1"/>
  <c r="F747" i="3" a="1"/>
  <c r="D18" i="3" a="1"/>
  <c r="D73" i="3" a="1"/>
  <c r="E455" i="3" a="1"/>
  <c r="E14" i="3" a="1"/>
  <c r="F319" i="3" a="1"/>
  <c r="C403" i="3" a="1"/>
  <c r="B320" i="3" a="1"/>
  <c r="A1058" i="3" a="1"/>
  <c r="E155" i="3" a="1"/>
  <c r="E571" i="3" a="1"/>
  <c r="E409" i="3" a="1"/>
  <c r="E838" i="3" a="1"/>
  <c r="C393" i="3" a="1"/>
  <c r="F775" i="3" a="1"/>
  <c r="F1225" i="3" a="1"/>
  <c r="B72" i="3" a="1"/>
  <c r="F97" i="3" a="1"/>
  <c r="B230" i="3" a="1"/>
  <c r="D95" i="3" a="1"/>
  <c r="E307" i="3" a="1"/>
  <c r="E192" i="3" a="1"/>
  <c r="F145" i="3" a="1"/>
  <c r="A750" i="3" a="1"/>
  <c r="D281" i="3" a="1"/>
  <c r="F305" i="3" a="1"/>
  <c r="B1371" i="3" a="1"/>
  <c r="C78" i="3" a="1"/>
  <c r="B464" i="3" a="1"/>
  <c r="B282" i="3" a="1"/>
  <c r="B61" i="3" a="1"/>
  <c r="F1096" i="3" a="1"/>
  <c r="F559" i="3" a="1"/>
  <c r="E879" i="3" a="1"/>
  <c r="A114" i="3" a="1"/>
  <c r="E398" i="3" a="1"/>
  <c r="C147" i="3" a="1"/>
  <c r="A481" i="3" a="1"/>
  <c r="C529" i="3" a="1"/>
  <c r="D243" i="3" a="1"/>
  <c r="E83" i="3" a="1"/>
  <c r="A251" i="3" a="1"/>
  <c r="D57" i="3" a="1"/>
  <c r="F46" i="3" a="1"/>
  <c r="D42" i="3" a="1"/>
  <c r="E341" i="3" a="1"/>
  <c r="D59" i="3" a="1"/>
  <c r="F95" i="3" a="1"/>
  <c r="B500" i="3" a="1"/>
  <c r="D274" i="3" a="1"/>
  <c r="D266" i="3" a="1"/>
  <c r="E258" i="3" a="1"/>
  <c r="F605" i="3" a="1"/>
  <c r="A739" i="3" a="1"/>
  <c r="C986" i="3" a="1"/>
  <c r="D257" i="3" a="1"/>
  <c r="F173" i="3" a="1"/>
  <c r="E122" i="3" a="1"/>
  <c r="B406" i="3" a="1"/>
  <c r="F223" i="3" a="1"/>
  <c r="F298" i="3" a="1"/>
  <c r="C736" i="3" a="1"/>
  <c r="F233" i="3" a="1"/>
  <c r="F277" i="3" a="1"/>
  <c r="C165" i="3" a="1"/>
  <c r="E259" i="3" a="1"/>
  <c r="B1123" i="3" a="1"/>
  <c r="B36" i="3" a="1"/>
  <c r="E36" i="3" a="1"/>
  <c r="D963" i="3" a="1"/>
  <c r="E84" i="3" a="1"/>
  <c r="C218" i="3" a="1"/>
  <c r="F386" i="3" a="1"/>
  <c r="F136" i="3" a="1"/>
  <c r="A48" i="3" a="1"/>
  <c r="F158" i="3" a="1"/>
  <c r="E215" i="3" a="1"/>
  <c r="B120" i="3" a="1"/>
  <c r="E96" i="3" a="1"/>
  <c r="E117" i="3" a="1"/>
  <c r="A76" i="3" a="1"/>
  <c r="C124" i="3" a="1"/>
  <c r="F594" i="3" a="1"/>
  <c r="A111" i="3" a="1"/>
  <c r="B643" i="3" a="1"/>
  <c r="C250" i="3" a="1"/>
  <c r="D29" i="3" a="1"/>
  <c r="C157" i="3" a="1"/>
  <c r="A59" i="3" a="1"/>
  <c r="D147" i="3" a="1"/>
  <c r="D351" i="3" a="1"/>
  <c r="D323" i="3" a="1"/>
  <c r="C26" i="3" a="1"/>
  <c r="B93" i="3" a="1"/>
  <c r="E290" i="3" a="1"/>
  <c r="E981" i="3" a="1"/>
  <c r="D916" i="3" a="1"/>
  <c r="D1140" i="3" a="1"/>
  <c r="C195" i="3" a="1"/>
  <c r="E296" i="3" a="1"/>
  <c r="B136" i="3" a="1"/>
  <c r="E427" i="3" a="1"/>
  <c r="D337" i="3" a="1"/>
  <c r="D194" i="3" a="1"/>
  <c r="C265" i="3" a="1"/>
  <c r="F335" i="3" a="1"/>
  <c r="C77" i="3" a="1"/>
  <c r="E193" i="3" a="1"/>
  <c r="C423" i="3" a="1"/>
  <c r="C551" i="3" a="1"/>
  <c r="D156" i="3" a="1"/>
  <c r="D416" i="3" a="1"/>
  <c r="C363" i="3" a="1"/>
  <c r="F38" i="3" a="1"/>
  <c r="B112" i="3" a="1"/>
  <c r="C93" i="3" a="1"/>
  <c r="F439" i="3" a="1"/>
  <c r="C112" i="3" a="1"/>
  <c r="F409" i="3" a="1"/>
  <c r="C70" i="3" a="1"/>
  <c r="B90" i="3" a="1"/>
  <c r="F471" i="3" a="1"/>
  <c r="D265" i="3" a="1"/>
  <c r="B437" i="3" a="1"/>
  <c r="C94" i="3" a="1"/>
  <c r="F356" i="3" a="1"/>
  <c r="C274" i="3" a="1"/>
  <c r="A214" i="3" a="1"/>
  <c r="B432" i="3" a="1"/>
  <c r="C378" i="3" a="1"/>
  <c r="E75" i="3" a="1"/>
  <c r="C351" i="3" a="1"/>
  <c r="F178" i="3" a="1"/>
  <c r="E973" i="3" a="1"/>
  <c r="D140" i="3" a="1"/>
  <c r="B217" i="3" a="1"/>
  <c r="D264" i="3" a="1"/>
  <c r="F428" i="3" a="1"/>
  <c r="B781" i="3" a="1"/>
  <c r="A62" i="3" a="1"/>
  <c r="B799" i="3" a="1"/>
  <c r="E461" i="3" a="1"/>
  <c r="E271" i="3" a="1"/>
  <c r="F76" i="3" a="1"/>
  <c r="F35" i="3" a="1"/>
  <c r="B803" i="3" a="1"/>
  <c r="C193" i="3" a="1"/>
  <c r="F210" i="3" a="1"/>
  <c r="C149" i="3" a="1"/>
  <c r="A317" i="3" a="1"/>
  <c r="D536" i="3" a="1"/>
  <c r="F153" i="3" a="1"/>
  <c r="C1010" i="3" a="1"/>
  <c r="E216" i="3" a="1"/>
  <c r="D429" i="3" a="1"/>
  <c r="D56" i="3" a="1"/>
  <c r="D234" i="3" a="1"/>
  <c r="A513" i="3" a="1"/>
  <c r="E194" i="3" a="1"/>
  <c r="D154" i="3" a="1"/>
  <c r="B84" i="3" a="1"/>
  <c r="B1338" i="3" a="1"/>
  <c r="E54" i="3" a="1"/>
  <c r="E22" i="3" a="1"/>
  <c r="E63" i="3" a="1"/>
  <c r="D1061" i="3" a="1"/>
  <c r="A60" i="3" a="1"/>
  <c r="C209" i="3" a="1"/>
  <c r="C203" i="3" a="1"/>
  <c r="C148" i="3" a="1"/>
  <c r="D51" i="3" a="1"/>
  <c r="B74" i="3" a="1"/>
  <c r="C329" i="3" a="1"/>
  <c r="B243" i="3" a="1"/>
  <c r="B177" i="3" a="1"/>
  <c r="C459" i="3" a="1"/>
  <c r="F649" i="3" a="1"/>
  <c r="E821" i="3" a="1"/>
  <c r="F396" i="3" a="1"/>
  <c r="D685" i="3" a="1"/>
  <c r="D486" i="3" a="1"/>
  <c r="E168" i="3" a="1"/>
  <c r="E103" i="3" a="1"/>
  <c r="C33" i="3" a="1"/>
  <c r="B719" i="3" a="1"/>
  <c r="F194" i="3" a="1"/>
  <c r="D1128" i="3" a="1"/>
  <c r="A31" i="3" a="1"/>
  <c r="E187" i="3" a="1"/>
  <c r="A367" i="3" a="1"/>
  <c r="D39" i="3" a="1"/>
  <c r="D306" i="3" a="1"/>
  <c r="A1190" i="3" a="1"/>
  <c r="B699" i="3" a="1"/>
  <c r="E416" i="3" a="1"/>
  <c r="E565" i="3" a="1"/>
  <c r="C1198" i="3" a="1"/>
  <c r="A117" i="3" a="1"/>
  <c r="F244" i="3" a="1"/>
  <c r="D276" i="3" a="1"/>
  <c r="B638" i="3" a="1"/>
  <c r="D419" i="3" a="1"/>
  <c r="D296" i="3" a="1"/>
  <c r="E135" i="3" a="1"/>
  <c r="A189" i="3" a="1"/>
  <c r="B1285" i="3" a="1"/>
  <c r="F531" i="3" a="1"/>
  <c r="E5" i="3" a="1"/>
  <c r="D435" i="3" a="1"/>
  <c r="F542" i="3" a="1"/>
  <c r="B812" i="3" a="1"/>
  <c r="C335" i="3" a="1"/>
  <c r="C542" i="3" a="1"/>
  <c r="B354" i="3" a="1"/>
  <c r="E628" i="3" a="1"/>
  <c r="B502" i="3" a="1"/>
  <c r="E959" i="3" a="1"/>
  <c r="A1307" i="3" a="1"/>
  <c r="B160" i="3" a="1"/>
  <c r="F560" i="3" a="1"/>
  <c r="A95" i="3" a="1"/>
  <c r="E73" i="3" a="1"/>
  <c r="D76" i="3" a="1"/>
  <c r="E1032" i="3" a="1"/>
  <c r="D807" i="3" a="1"/>
  <c r="F588" i="3" a="1"/>
  <c r="D5" i="3" a="1"/>
  <c r="A238" i="3" a="1"/>
  <c r="D108" i="3" a="1"/>
  <c r="F323" i="3" a="1"/>
  <c r="B47" i="3" a="1"/>
  <c r="E317" i="3" a="1"/>
  <c r="A427" i="3" a="1"/>
  <c r="E1029" i="3" a="1"/>
  <c r="E1193" i="3" a="1"/>
  <c r="E795" i="3" a="1"/>
  <c r="C100" i="3" a="1"/>
  <c r="D1167" i="3" a="1"/>
  <c r="E199" i="3" a="1"/>
  <c r="B866" i="3" a="1"/>
  <c r="F41" i="3" a="1"/>
  <c r="E181" i="3" a="1"/>
  <c r="D34" i="3" a="1"/>
  <c r="F209" i="3" a="1"/>
  <c r="E237" i="3" a="1"/>
  <c r="B547" i="3" a="1"/>
  <c r="A565" i="3" a="1"/>
  <c r="B598" i="3" a="1"/>
  <c r="A1170" i="3" a="1"/>
  <c r="A855" i="3" a="1"/>
  <c r="D822" i="3" a="1"/>
  <c r="D259" i="3" a="1"/>
  <c r="F220" i="3" a="1"/>
  <c r="F73" i="3" a="1"/>
  <c r="C344" i="3" a="1"/>
  <c r="D6" i="3" a="1"/>
  <c r="F697" i="3" a="1"/>
  <c r="C836" i="3" a="1"/>
  <c r="A456" i="3" a="1"/>
  <c r="B425" i="3" a="1"/>
  <c r="A257" i="3" a="1"/>
  <c r="D254" i="3" a="1"/>
  <c r="A249" i="3" a="1"/>
  <c r="B236" i="3" a="1"/>
  <c r="E161" i="3" a="1"/>
  <c r="C158" i="3" a="1"/>
  <c r="F671" i="3" a="1"/>
  <c r="F225" i="3" a="1"/>
  <c r="D169" i="3" a="1"/>
  <c r="E262" i="3" a="1"/>
  <c r="E145" i="3" a="1"/>
  <c r="D152" i="3" a="1"/>
  <c r="F599" i="3" a="1"/>
  <c r="F760" i="3" a="1"/>
  <c r="C227" i="3" a="1"/>
  <c r="F80" i="3" a="1"/>
  <c r="D553" i="3" a="1"/>
  <c r="E315" i="3" a="1"/>
  <c r="A1021" i="3" a="1"/>
  <c r="B572" i="3" a="1"/>
  <c r="C1024" i="3" a="1"/>
  <c r="F467" i="3" a="1"/>
  <c r="B111" i="3" a="1"/>
  <c r="D365" i="3" a="1"/>
  <c r="B102" i="3" a="1"/>
  <c r="F422" i="3" a="1"/>
  <c r="B453" i="3" a="1"/>
  <c r="B449" i="3" a="1"/>
  <c r="D742" i="3" a="1"/>
  <c r="E688" i="3" a="1"/>
  <c r="A980" i="3" a="1"/>
  <c r="E1008" i="3" a="1"/>
  <c r="E291" i="3" a="1"/>
  <c r="C317" i="3" a="1"/>
  <c r="E106" i="3" a="1"/>
  <c r="B1022" i="3" a="1"/>
  <c r="C10" i="3" a="1"/>
  <c r="F11" i="3" a="1"/>
  <c r="F78" i="3" a="1"/>
  <c r="D395" i="3" a="1"/>
  <c r="D513" i="3" a="1"/>
  <c r="E50" i="3" a="1"/>
  <c r="F24" i="3" a="1"/>
  <c r="B532" i="3" a="1"/>
  <c r="B62" i="3" a="1"/>
  <c r="E72" i="3" a="1"/>
  <c r="D546" i="3" a="1"/>
  <c r="B403" i="3" a="1"/>
  <c r="C498" i="3" a="1"/>
  <c r="B75" i="3" a="1"/>
  <c r="D82" i="3" a="1"/>
  <c r="F25" i="3" a="1"/>
  <c r="B96" i="3" a="1"/>
  <c r="C99" i="3" a="1"/>
  <c r="A187" i="3" a="1"/>
  <c r="B33" i="3" a="1"/>
  <c r="C254" i="3" a="1"/>
  <c r="F208" i="3" a="1"/>
  <c r="F126" i="3" a="1"/>
  <c r="D919" i="3" a="1"/>
  <c r="E906" i="3" a="1"/>
  <c r="A155" i="3" a="1"/>
  <c r="B656" i="3" a="1"/>
  <c r="D175" i="3" a="1"/>
  <c r="D334" i="3" a="1"/>
  <c r="C13" i="3" a="1"/>
  <c r="C1167" i="3" a="1"/>
  <c r="A585" i="3" a="1"/>
  <c r="A93" i="3" a="1"/>
  <c r="D244" i="3" a="1"/>
  <c r="B293" i="3" a="1"/>
  <c r="A73" i="3" a="1"/>
  <c r="C208" i="3" a="1"/>
  <c r="C39" i="3" a="1"/>
  <c r="C84" i="3" a="1"/>
  <c r="F652" i="3" a="1"/>
  <c r="C432" i="3" a="1"/>
  <c r="E268" i="3" a="1"/>
  <c r="D369" i="3" a="1"/>
  <c r="E1026" i="3" a="1"/>
  <c r="E141" i="3" a="1"/>
  <c r="D417" i="3" a="1"/>
  <c r="E191" i="3" a="1"/>
  <c r="D1000" i="3" a="1"/>
  <c r="A248" i="3" a="1"/>
  <c r="B40" i="3" a="1"/>
  <c r="B348" i="3" a="1"/>
  <c r="F1110" i="3" a="1"/>
  <c r="A141" i="3" a="1"/>
  <c r="A830" i="3" a="1"/>
  <c r="D937" i="3" a="1"/>
  <c r="E490" i="3" a="1"/>
  <c r="D469" i="3" a="1"/>
  <c r="E99" i="3" a="1"/>
  <c r="F19" i="3" a="1"/>
  <c r="C280" i="3" a="1"/>
  <c r="A71" i="3" a="1"/>
  <c r="D297" i="3" a="1"/>
  <c r="F243" i="3" a="1"/>
  <c r="A70" i="3" a="1"/>
  <c r="A149" i="3" a="1"/>
  <c r="F214" i="3" a="1"/>
  <c r="C5" i="3" a="1"/>
  <c r="F33" i="3" a="1"/>
  <c r="F835" i="3" a="1"/>
  <c r="E189" i="3" a="1"/>
  <c r="E129" i="3" a="1"/>
  <c r="C59" i="3" a="1"/>
  <c r="E150" i="3" a="1"/>
  <c r="A108" i="3" a="1"/>
  <c r="D150" i="3" a="1"/>
  <c r="C350" i="3" a="1"/>
  <c r="D439" i="3" a="1"/>
  <c r="D911" i="3" a="1"/>
  <c r="F170" i="3" a="1"/>
  <c r="D325" i="3" a="1"/>
  <c r="E690" i="3" a="1"/>
  <c r="A308" i="3" a="1"/>
  <c r="A359" i="3" a="1"/>
  <c r="B265" i="3" a="1"/>
  <c r="A1072" i="3" a="1"/>
  <c r="F336" i="3" a="1"/>
  <c r="E131" i="3" a="1"/>
  <c r="A485" i="3" a="1"/>
  <c r="E311" i="3" a="1"/>
  <c r="B156" i="3" a="1"/>
  <c r="A504" i="3" a="1"/>
  <c r="F595" i="3" a="1"/>
  <c r="E615" i="3" a="1"/>
  <c r="A156" i="3" a="1"/>
  <c r="B525" i="3" a="1"/>
  <c r="B203" i="3" a="1"/>
  <c r="C156" i="3" a="1"/>
  <c r="B196" i="3" a="1"/>
  <c r="C895" i="3" a="1"/>
  <c r="A550" i="3" a="1"/>
  <c r="E119" i="3" a="1"/>
  <c r="E444" i="3" a="1"/>
  <c r="F321" i="3" a="1"/>
  <c r="B162" i="3" a="1"/>
  <c r="A365" i="3" a="1"/>
  <c r="A129" i="3" a="1"/>
  <c r="A384" i="3" a="1"/>
  <c r="C110" i="3" a="1"/>
  <c r="E69" i="3" a="1"/>
  <c r="B514" i="3" a="1"/>
  <c r="C572" i="3" a="1"/>
  <c r="E243" i="3" a="1"/>
  <c r="C839" i="3" a="1"/>
  <c r="E62" i="3" a="1"/>
  <c r="D131" i="3" a="1"/>
  <c r="B726" i="3" a="1"/>
  <c r="C928" i="3" a="1"/>
  <c r="E570" i="3" a="1"/>
  <c r="E1173" i="3" a="1"/>
  <c r="E12" i="3" a="1"/>
  <c r="A509" i="3" a="1"/>
  <c r="D407" i="3" a="1"/>
  <c r="E327" i="3" a="1"/>
  <c r="D404" i="3" a="1"/>
  <c r="F1039" i="3" a="1"/>
  <c r="F263" i="3" a="1"/>
  <c r="E526" i="3" a="1"/>
  <c r="B94" i="3" a="1"/>
  <c r="D261" i="3" a="1"/>
  <c r="B107" i="3" a="1"/>
  <c r="B609" i="3" a="1"/>
  <c r="A1272" i="3" a="1"/>
  <c r="A139" i="3" a="1"/>
  <c r="F521" i="3" a="1"/>
  <c r="F238" i="3" a="1"/>
  <c r="E210" i="3" a="1"/>
  <c r="D471" i="3" a="1"/>
  <c r="B147" i="3" a="1"/>
  <c r="F473" i="3" a="1"/>
  <c r="C433" i="3" a="1"/>
  <c r="D790" i="3" a="1"/>
  <c r="B143" i="3" a="1"/>
  <c r="D72" i="3" a="1"/>
  <c r="F432" i="3" a="1"/>
  <c r="A69" i="3" a="1"/>
  <c r="A113" i="3" a="1"/>
  <c r="C601" i="3" a="1"/>
  <c r="C173" i="3" a="1"/>
  <c r="B524" i="3" a="1"/>
  <c r="A124" i="3" a="1"/>
  <c r="D418" i="3" a="1"/>
  <c r="E411" i="3" a="1"/>
  <c r="C54" i="3" a="1"/>
  <c r="B280" i="3" a="1"/>
  <c r="C877" i="3" a="1"/>
  <c r="A403" i="3" a="1"/>
  <c r="F60" i="3" a="1"/>
  <c r="E990" i="3" a="1"/>
  <c r="B509" i="3" a="1"/>
  <c r="D239" i="3" a="1"/>
  <c r="C868" i="3" a="1"/>
  <c r="A334" i="3" a="1"/>
  <c r="A169" i="3" a="1"/>
  <c r="C445" i="3" a="1"/>
  <c r="E448" i="3" a="1"/>
  <c r="C1205" i="3" a="1"/>
  <c r="D378" i="3" a="1"/>
  <c r="C234" i="3" a="1"/>
  <c r="A88" i="3" a="1"/>
  <c r="B890" i="3" a="1"/>
  <c r="B114" i="3" a="1"/>
  <c r="C536" i="3" a="1"/>
  <c r="D562" i="3" a="1"/>
  <c r="E992" i="3" a="1"/>
  <c r="C275" i="3" a="1"/>
  <c r="C71" i="3" a="1"/>
  <c r="F1299" i="3" a="1"/>
  <c r="D1403" i="3" a="1"/>
  <c r="B302" i="3" a="1"/>
  <c r="D1093" i="3" a="1"/>
  <c r="C232" i="3" a="1"/>
  <c r="D236" i="3" a="1"/>
  <c r="E33" i="3" a="1"/>
  <c r="E522" i="3" a="1"/>
  <c r="A570" i="3" a="1"/>
  <c r="C349" i="3" a="1"/>
  <c r="B1155" i="3" a="1"/>
  <c r="A379" i="3" a="1"/>
  <c r="F570" i="3" a="1"/>
  <c r="B725" i="3" a="1"/>
  <c r="E667" i="3" a="1"/>
  <c r="F182" i="3" a="1"/>
  <c r="D31" i="3" a="1"/>
  <c r="C324" i="3" a="1"/>
  <c r="C488" i="3" a="1"/>
  <c r="E387" i="3" a="1"/>
  <c r="F139" i="3" a="1"/>
  <c r="A224" i="3" a="1"/>
  <c r="A429" i="3" a="1"/>
  <c r="F283" i="3" a="1"/>
  <c r="A862" i="3" a="1"/>
  <c r="F1414" i="3" a="1"/>
  <c r="C55" i="3" a="1"/>
  <c r="F355" i="3" a="1"/>
  <c r="C503" i="3" a="1"/>
  <c r="C58" i="3" a="1"/>
  <c r="C579" i="3" a="1"/>
  <c r="D197" i="3" a="1"/>
  <c r="D411" i="3" a="1"/>
  <c r="A600" i="3" a="1"/>
  <c r="A243" i="3" a="1"/>
  <c r="E238" i="3" a="1"/>
  <c r="D188" i="3" a="1"/>
  <c r="B422" i="3" a="1"/>
  <c r="C914" i="3" a="1"/>
  <c r="C1424" i="3" a="1"/>
  <c r="B128" i="3" a="1"/>
  <c r="D441" i="3" a="1"/>
  <c r="F1257" i="3" a="1"/>
  <c r="E668" i="3" a="1"/>
  <c r="A1157" i="3" a="1"/>
  <c r="C532" i="3" a="1"/>
  <c r="E388" i="3" a="1"/>
  <c r="E294" i="3" a="1"/>
  <c r="D138" i="3" a="1"/>
  <c r="A180" i="3" a="1"/>
  <c r="E612" i="3" a="1"/>
  <c r="D904" i="3" a="1"/>
  <c r="E392" i="3" a="1"/>
  <c r="B71" i="3" a="1"/>
  <c r="F1121" i="3" a="1"/>
  <c r="C913" i="3" a="1"/>
  <c r="B420" i="3" a="1"/>
  <c r="F201" i="3" a="1"/>
  <c r="A369" i="3" a="1"/>
  <c r="D635" i="3" a="1"/>
  <c r="B306" i="3" a="1"/>
  <c r="F227" i="3" a="1"/>
  <c r="D1101" i="3" a="1"/>
  <c r="E248" i="3" a="1"/>
  <c r="C245" i="3" a="1"/>
  <c r="E616" i="3" a="1"/>
  <c r="C233" i="3" a="1"/>
  <c r="C625" i="3" a="1"/>
  <c r="C79" i="3" a="1"/>
  <c r="A40" i="3" a="1"/>
  <c r="A734" i="3" a="1"/>
  <c r="D390" i="3" a="1"/>
  <c r="F421" i="3" a="1"/>
  <c r="F981" i="3" a="1"/>
  <c r="D161" i="3" a="1"/>
  <c r="D237" i="3" a="1"/>
  <c r="F507" i="3" a="1"/>
  <c r="F951" i="3" a="1"/>
  <c r="C319" i="3" a="1"/>
  <c r="B531" i="3" a="1"/>
  <c r="A441" i="3" a="1"/>
  <c r="A1251" i="3" a="1"/>
  <c r="B503" i="3" a="1"/>
  <c r="B562" i="3" a="1"/>
  <c r="E137" i="3" a="1"/>
  <c r="D212" i="3" a="1"/>
  <c r="F905" i="3" a="1"/>
  <c r="C230" i="3" a="1"/>
  <c r="C540" i="3" a="1"/>
  <c r="F89" i="3" a="1"/>
  <c r="B1392" i="3" a="1"/>
  <c r="C699" i="3" a="1"/>
  <c r="C823" i="3" a="1"/>
  <c r="E450" i="3" a="1"/>
  <c r="A925" i="3" a="1"/>
  <c r="B1325" i="3" a="1"/>
  <c r="F870" i="3" a="1"/>
  <c r="F712" i="3" a="1"/>
  <c r="E573" i="3" a="1"/>
  <c r="F168" i="3" a="1"/>
  <c r="C1333" i="3" a="1"/>
  <c r="E401" i="3" a="1"/>
  <c r="F318" i="3" a="1"/>
  <c r="C410" i="3" a="1"/>
  <c r="D710" i="3" a="1"/>
  <c r="C331" i="3" a="1"/>
  <c r="A758" i="3" a="1"/>
  <c r="B60" i="3" a="1"/>
  <c r="C1040" i="3" a="1"/>
  <c r="A326" i="3" a="1"/>
  <c r="C42" i="3" a="1"/>
  <c r="C672" i="3" a="1"/>
  <c r="E587" i="3" a="1"/>
  <c r="A1362" i="3" a="1"/>
  <c r="C375" i="3" a="1"/>
  <c r="E480" i="3" a="1"/>
  <c r="E1208" i="3" a="1"/>
  <c r="B455" i="3" a="1"/>
  <c r="D216" i="3" a="1"/>
  <c r="A923" i="3" a="1"/>
  <c r="D858" i="3" a="1"/>
  <c r="A210" i="3" a="1"/>
  <c r="B339" i="3" a="1"/>
  <c r="B271" i="3" a="1"/>
  <c r="E539" i="3" a="1"/>
  <c r="D402" i="3" a="1"/>
  <c r="F1371" i="3" a="1"/>
  <c r="A1114" i="3" a="1"/>
  <c r="E1108" i="3" a="1"/>
  <c r="E1211" i="3" a="1"/>
  <c r="C69" i="3" a="1"/>
  <c r="E702" i="3" a="1"/>
  <c r="E535" i="3" a="1"/>
  <c r="B790" i="3" a="1"/>
  <c r="A1399" i="3" a="1"/>
  <c r="B805" i="3" a="1"/>
  <c r="A252" i="3" a="1"/>
  <c r="E504" i="3" a="1"/>
  <c r="A312" i="3" a="1"/>
  <c r="E323" i="3" a="1"/>
  <c r="F66" i="3" a="1"/>
  <c r="C57" i="3" a="1"/>
  <c r="E1197" i="3" a="1"/>
  <c r="B270" i="3" a="1"/>
  <c r="E478" i="3" a="1"/>
  <c r="A386" i="3" a="1"/>
  <c r="E74" i="3" a="1"/>
  <c r="E288" i="3" a="1"/>
  <c r="F62" i="3" a="1"/>
  <c r="C166" i="3" a="1"/>
  <c r="B417" i="3" a="1"/>
  <c r="B23" i="3" a="1"/>
  <c r="D174" i="3" a="1"/>
  <c r="A842" i="3" a="1"/>
  <c r="C549" i="3" a="1"/>
  <c r="E256" i="3" a="1"/>
  <c r="F6" i="3" a="1"/>
  <c r="A438" i="3" a="1"/>
  <c r="E254" i="3" a="1"/>
  <c r="D219" i="3" a="1"/>
  <c r="C86" i="3" a="1"/>
  <c r="F193" i="3" a="1"/>
  <c r="A493" i="3" a="1"/>
  <c r="C1400" i="3" a="1"/>
  <c r="F347" i="3" a="1"/>
  <c r="D235" i="3" a="1"/>
  <c r="E306" i="3" a="1"/>
  <c r="B9" i="3" a="1"/>
  <c r="B52" i="3" a="1"/>
  <c r="C424" i="3" a="1"/>
  <c r="F117" i="3" a="1"/>
  <c r="C279" i="3" a="1"/>
  <c r="A927" i="3" a="1"/>
  <c r="D371" i="3" a="1"/>
  <c r="F715" i="3" a="1"/>
  <c r="E183" i="3" a="1"/>
  <c r="C1054" i="3" a="1"/>
  <c r="D717" i="3" a="1"/>
  <c r="E874" i="3" a="1"/>
  <c r="D519" i="3" a="1"/>
  <c r="D406" i="3" a="1"/>
  <c r="A150" i="3" a="1"/>
  <c r="B264" i="3" a="1"/>
  <c r="E81" i="3" a="1"/>
  <c r="D182" i="3" a="1"/>
  <c r="C130" i="3" a="1"/>
  <c r="F571" i="3" a="1"/>
  <c r="D452" i="3" a="1"/>
  <c r="C222" i="3" a="1"/>
  <c r="B592" i="3" a="1"/>
  <c r="B362" i="3" a="1"/>
  <c r="A134" i="3" a="1"/>
  <c r="A417" i="3" a="1"/>
  <c r="E550" i="3" a="1"/>
  <c r="F1288" i="3" a="1"/>
  <c r="B367" i="3" a="1"/>
  <c r="B1015" i="3" a="1"/>
  <c r="D664" i="3" a="1"/>
  <c r="E21" i="3" a="1"/>
  <c r="C800" i="3" a="1"/>
  <c r="F500" i="3" a="1"/>
  <c r="E300" i="3" a="1"/>
  <c r="E281" i="3" a="1"/>
  <c r="A467" i="3" a="1"/>
  <c r="F1291" i="3" a="1"/>
  <c r="E15" i="3" a="1"/>
  <c r="B729" i="3" a="1"/>
  <c r="D1100" i="3" a="1"/>
  <c r="A338" i="3" a="1"/>
  <c r="E1261" i="3" a="1"/>
  <c r="F7" i="3" a="1"/>
  <c r="C61" i="3" a="1"/>
  <c r="E280" i="3" a="1"/>
  <c r="C425" i="3" a="1"/>
  <c r="D77" i="3" a="1"/>
  <c r="A140" i="3" a="1"/>
  <c r="E68" i="3" a="1"/>
  <c r="E510" i="3" a="1"/>
  <c r="A146" i="3" a="1"/>
  <c r="B806" i="3" a="1"/>
  <c r="B560" i="3" a="1"/>
  <c r="D462" i="3" a="1"/>
  <c r="C243" i="3" a="1"/>
  <c r="B508" i="3" a="1"/>
  <c r="F635" i="3" a="1"/>
  <c r="D1359" i="3" a="1"/>
  <c r="F4" i="3" a="1"/>
  <c r="B826" i="3" a="1"/>
  <c r="B181" i="3" a="1"/>
  <c r="A656" i="3" a="1"/>
  <c r="C924" i="3" a="1"/>
  <c r="B124" i="3" a="1"/>
  <c r="D10" i="3" a="1"/>
  <c r="A746" i="3" a="1"/>
  <c r="E233" i="3" a="1"/>
  <c r="E142" i="3" a="1"/>
  <c r="C401" i="3" a="1"/>
  <c r="F393" i="3" a="1"/>
  <c r="C447" i="3" a="1"/>
  <c r="F986" i="3" a="1"/>
  <c r="C204" i="3" a="1"/>
  <c r="D117" i="3" a="1"/>
  <c r="A878" i="3" a="1"/>
  <c r="C294" i="3" a="1"/>
  <c r="D749" i="3" a="1"/>
  <c r="A349" i="3" a="1"/>
  <c r="D1217" i="3" a="1"/>
  <c r="E67" i="3" a="1"/>
  <c r="A292" i="3" a="1"/>
  <c r="B377" i="3" a="1"/>
  <c r="B582" i="3" a="1"/>
  <c r="C783" i="3" a="1"/>
  <c r="E797" i="3" a="1"/>
  <c r="D784" i="3" a="1"/>
  <c r="F45" i="3" a="1"/>
  <c r="C491" i="3" a="1"/>
  <c r="D883" i="3" a="1"/>
  <c r="F496" i="3" a="1"/>
  <c r="D103" i="3" a="1"/>
  <c r="A159" i="3" a="1"/>
  <c r="F180" i="3" a="1"/>
  <c r="D834" i="3" a="1"/>
  <c r="C670" i="3" a="1"/>
  <c r="B489" i="3" a="1"/>
  <c r="D522" i="3" a="1"/>
  <c r="A298" i="3" a="1"/>
  <c r="F278" i="3" a="1"/>
  <c r="C8" i="3" a="1"/>
  <c r="A302" i="3" a="1"/>
  <c r="C866" i="3" a="1"/>
  <c r="F610" i="3" a="1"/>
  <c r="C355" i="3" a="1"/>
  <c r="F894" i="3" a="1"/>
  <c r="A43" i="3" a="1"/>
  <c r="E496" i="3" a="1"/>
  <c r="F337" i="3" a="1"/>
  <c r="D800" i="3" a="1"/>
  <c r="C827" i="3" a="1"/>
  <c r="F667" i="3" a="1"/>
  <c r="E124" i="3" a="1"/>
  <c r="D415" i="3" a="1"/>
  <c r="E463" i="3" a="1"/>
  <c r="F544" i="3" a="1"/>
  <c r="E91" i="3" a="1"/>
  <c r="F388" i="3" a="1"/>
  <c r="D289" i="3" a="1"/>
  <c r="D223" i="3" a="1"/>
  <c r="F1010" i="3" a="1"/>
  <c r="D54" i="3" a="1"/>
  <c r="C617" i="3" a="1"/>
  <c r="A137" i="3" a="1"/>
  <c r="B54" i="3" a="1"/>
  <c r="E174" i="3" a="1"/>
  <c r="E325" i="3" a="1"/>
  <c r="D335" i="3" a="1"/>
  <c r="C484" i="3" a="1"/>
  <c r="A635" i="3" a="1"/>
  <c r="B140" i="3" a="1"/>
  <c r="E1395" i="3" a="1"/>
  <c r="A908" i="3" a="1"/>
  <c r="A741" i="3" a="1"/>
  <c r="F402" i="3" a="1"/>
  <c r="E566" i="3" a="1"/>
  <c r="C304" i="3" a="1"/>
  <c r="E140" i="3" a="1"/>
  <c r="A47" i="3" a="1"/>
  <c r="A959" i="3" a="1"/>
  <c r="A375" i="3" a="1"/>
  <c r="B101" i="3" a="1"/>
  <c r="A185" i="3" a="1"/>
  <c r="F727" i="3" a="1"/>
  <c r="A164" i="3" a="1"/>
  <c r="C490" i="3" a="1"/>
  <c r="D30" i="3" a="1"/>
  <c r="B669" i="3" a="1"/>
  <c r="C258" i="3" a="1"/>
  <c r="B404" i="3" a="1"/>
  <c r="A304" i="3" a="1"/>
  <c r="B703" i="3" a="1"/>
  <c r="E1095" i="3" a="1"/>
  <c r="C943" i="3" a="1"/>
  <c r="E429" i="3" a="1"/>
  <c r="A701" i="3" a="1"/>
  <c r="D591" i="3" a="1"/>
  <c r="A226" i="3" a="1"/>
  <c r="F184" i="3" a="1"/>
  <c r="A173" i="3" a="1"/>
  <c r="A827" i="3" a="1"/>
  <c r="F481" i="3" a="1"/>
  <c r="B142" i="3" a="1"/>
  <c r="C306" i="3" a="1"/>
  <c r="C604" i="3" a="1"/>
  <c r="C799" i="3" a="1"/>
  <c r="E632" i="3" a="1"/>
  <c r="D787" i="3" a="1"/>
  <c r="A138" i="3" a="1"/>
  <c r="E205" i="3" a="1"/>
  <c r="B594" i="3" a="1"/>
  <c r="D247" i="3" a="1"/>
  <c r="B32" i="3" a="1"/>
  <c r="A468" i="3" a="1"/>
  <c r="F392" i="3" a="1"/>
  <c r="C487" i="3" a="1"/>
  <c r="B847" i="3" a="1"/>
  <c r="A678" i="3" a="1"/>
  <c r="F144" i="3" a="1"/>
  <c r="C341" i="3" a="1"/>
  <c r="B1118" i="3" a="1"/>
  <c r="E1045" i="3" a="1"/>
  <c r="C580" i="3" a="1"/>
  <c r="F63" i="3" a="1"/>
  <c r="C525" i="3" a="1"/>
  <c r="C212" i="3" a="1"/>
  <c r="C999" i="3" a="1"/>
  <c r="D1236" i="3" a="1"/>
  <c r="D291" i="3" a="1"/>
  <c r="E980" i="3" a="1"/>
  <c r="F219" i="3" a="1"/>
  <c r="F1266" i="3" a="1"/>
  <c r="B357" i="3" a="1"/>
  <c r="C119" i="3" a="1"/>
  <c r="D224" i="3" a="1"/>
  <c r="C1422" i="3" a="1"/>
  <c r="D1229" i="3" a="1"/>
  <c r="F251" i="3" a="1"/>
  <c r="D876" i="3" a="1"/>
  <c r="C321" i="3" a="1"/>
  <c r="A126" i="3" a="1"/>
  <c r="D358" i="3" a="1"/>
  <c r="D747" i="3" a="1"/>
  <c r="F65" i="3" a="1"/>
  <c r="B621" i="3" a="1"/>
  <c r="A655" i="3" a="1"/>
  <c r="A449" i="3" a="1"/>
  <c r="D698" i="3" a="1"/>
  <c r="F134" i="3" a="1"/>
  <c r="F1220" i="3" a="1"/>
  <c r="D552" i="3" a="1"/>
  <c r="B460" i="3" a="1"/>
  <c r="C1208" i="3" a="1"/>
  <c r="D592" i="3" a="1"/>
  <c r="B782" i="3" a="1"/>
  <c r="A486" i="3" a="1"/>
  <c r="E226" i="3" a="1"/>
  <c r="B877" i="3" a="1"/>
  <c r="E559" i="3" a="1"/>
  <c r="F412" i="3" a="1"/>
  <c r="D229" i="3" a="1"/>
  <c r="F205" i="3" a="1"/>
  <c r="A900" i="3" a="1"/>
  <c r="F1332" i="3" a="1"/>
  <c r="B1092" i="3" a="1"/>
  <c r="B1389" i="3" a="1"/>
  <c r="F539" i="3" a="1"/>
  <c r="F332" i="3" a="1"/>
  <c r="F114" i="3" a="1"/>
  <c r="C155" i="3" a="1"/>
  <c r="E182" i="3" a="1"/>
  <c r="E85" i="3" a="1"/>
  <c r="F380" i="3" a="1"/>
  <c r="D879" i="3" a="1"/>
  <c r="C41" i="3" a="1"/>
  <c r="A87" i="3" a="1"/>
  <c r="C994" i="3" a="1"/>
  <c r="E170" i="3" a="1"/>
  <c r="D199" i="3" a="1"/>
  <c r="A321" i="3" a="1"/>
  <c r="C721" i="3" a="1"/>
  <c r="D170" i="3" a="1"/>
  <c r="F171" i="3" a="1"/>
  <c r="D293" i="3" a="1"/>
  <c r="A378" i="3" a="1"/>
  <c r="D87" i="3" a="1"/>
  <c r="A26" i="3" a="1"/>
  <c r="C509" i="3" a="1"/>
  <c r="C40" i="3" a="1"/>
  <c r="A824" i="3" a="1"/>
  <c r="C427" i="3" a="1"/>
  <c r="D253" i="3" a="1"/>
  <c r="E338" i="3" a="1"/>
  <c r="B5" i="3" a="1"/>
  <c r="D449" i="3" a="1"/>
  <c r="E92" i="3" a="1"/>
  <c r="B550" i="3" a="1"/>
  <c r="B153" i="3" a="1"/>
  <c r="C345" i="3" a="1"/>
  <c r="F20" i="3" a="1"/>
  <c r="C217" i="3" a="1"/>
  <c r="D382" i="3" a="1"/>
  <c r="D670" i="3" a="1"/>
  <c r="A100" i="3" a="1"/>
  <c r="A42" i="3" a="1"/>
  <c r="E748" i="3" a="1"/>
  <c r="F561" i="3" a="1"/>
  <c r="C767" i="3" a="1"/>
  <c r="C200" i="3" a="1"/>
  <c r="E718" i="3" a="1"/>
  <c r="B574" i="3" a="1"/>
  <c r="E134" i="3" a="1"/>
  <c r="E440" i="3" a="1"/>
  <c r="B381" i="3" a="1"/>
  <c r="A1004" i="3" a="1"/>
  <c r="D616" i="3" a="1"/>
  <c r="B353" i="3" a="1"/>
  <c r="D263" i="3" a="1"/>
  <c r="D251" i="3" a="1"/>
  <c r="A534" i="3" a="1"/>
  <c r="F1038" i="3" a="1"/>
  <c r="D1064" i="3" a="1"/>
  <c r="E231" i="3" a="1"/>
  <c r="A14" i="3" a="1"/>
  <c r="B996" i="3" a="1"/>
  <c r="F495" i="3" a="1"/>
  <c r="E1300" i="3" a="1"/>
  <c r="B249" i="3" a="1"/>
  <c r="F211" i="3" a="1"/>
  <c r="E792" i="3" a="1"/>
  <c r="D1075" i="3" a="1"/>
  <c r="B87" i="3" a="1"/>
  <c r="B761" i="3" a="1"/>
  <c r="A418" i="3" a="1"/>
  <c r="B24" i="3" a="1"/>
  <c r="D41" i="3" a="1"/>
  <c r="A581" i="3" a="1"/>
  <c r="D107" i="3" a="1"/>
  <c r="B89" i="3" a="1"/>
  <c r="F274" i="3" a="1"/>
  <c r="B275" i="3" a="1"/>
  <c r="E78" i="3" a="1"/>
  <c r="C728" i="3" a="1"/>
  <c r="E353" i="3" a="1"/>
  <c r="B496" i="3" a="1"/>
  <c r="B386" i="3" a="1"/>
  <c r="F116" i="3" a="1"/>
  <c r="A258" i="3" a="1"/>
  <c r="A809" i="3" a="1"/>
  <c r="F465" i="3" a="1"/>
  <c r="A596" i="3" a="1"/>
  <c r="F363" i="3" a="1"/>
  <c r="E940" i="3" a="1"/>
  <c r="A431" i="3" a="1"/>
  <c r="C354" i="3" a="1"/>
  <c r="A506" i="3" a="1"/>
  <c r="F438" i="3" a="1"/>
  <c r="B407" i="3" a="1"/>
  <c r="A480" i="3" a="1"/>
  <c r="C768" i="3" a="1"/>
  <c r="B309" i="3" a="1"/>
  <c r="E512" i="3" a="1"/>
  <c r="A148" i="3" a="1"/>
  <c r="C460" i="3" a="1"/>
  <c r="B218" i="3" a="1"/>
  <c r="F443" i="3" a="1"/>
  <c r="F169" i="3" a="1"/>
  <c r="A770" i="3" a="1"/>
  <c r="A1129" i="3" a="1"/>
  <c r="C38" i="3" a="1"/>
  <c r="C431" i="3" a="1"/>
  <c r="A476" i="3" a="1"/>
  <c r="A74" i="3" a="1"/>
  <c r="F755" i="3" a="1"/>
  <c r="A450" i="3" a="1"/>
  <c r="C407" i="3" a="1"/>
  <c r="A5" i="3" a="1"/>
  <c r="C266" i="3" a="1"/>
  <c r="C812" i="3" a="1"/>
  <c r="E519" i="3" a="1"/>
  <c r="C437" i="3" a="1"/>
  <c r="F189" i="3" a="1"/>
  <c r="E1142" i="3" a="1"/>
  <c r="E120" i="3" a="1"/>
  <c r="A263" i="3" a="1"/>
  <c r="D534" i="3" a="1"/>
  <c r="B358" i="3" a="1"/>
  <c r="B439" i="3" a="1"/>
  <c r="C253" i="3" a="1"/>
  <c r="E171" i="3" a="1"/>
  <c r="D497" i="3" a="1"/>
  <c r="A301" i="3" a="1"/>
  <c r="E493" i="3" a="1"/>
  <c r="D1057" i="3" a="1"/>
  <c r="E371" i="3" a="1"/>
  <c r="B133" i="3" a="1"/>
  <c r="D122" i="3" a="1"/>
  <c r="B1067" i="3" a="1"/>
  <c r="A230" i="3" a="1"/>
  <c r="D376" i="3" a="1"/>
  <c r="B1150" i="3" a="1"/>
  <c r="F70" i="3" a="1"/>
  <c r="A711" i="3" a="1"/>
  <c r="B295" i="3" a="1"/>
  <c r="D589" i="3" a="1"/>
  <c r="A203" i="3" a="1"/>
  <c r="A420" i="3" a="1"/>
  <c r="A491" i="3" a="1"/>
  <c r="B555" i="3" a="1"/>
  <c r="D118" i="3" a="1"/>
  <c r="C175" i="3" a="1"/>
  <c r="C621" i="3" a="1"/>
  <c r="F378" i="3" a="1"/>
  <c r="D387" i="3" a="1"/>
  <c r="A37" i="3" a="1"/>
  <c r="E420" i="3" a="1"/>
  <c r="B749" i="3" a="1"/>
  <c r="D498" i="3" a="1"/>
  <c r="B291" i="3" a="1"/>
  <c r="B212" i="3" a="1"/>
  <c r="A514" i="3" a="1"/>
  <c r="C674" i="3" a="1"/>
  <c r="F256" i="3" a="1"/>
  <c r="F22" i="3" a="1"/>
  <c r="C92" i="3" a="1"/>
  <c r="D510" i="3" a="1"/>
  <c r="A125" i="3" a="1"/>
  <c r="D367" i="3" a="1"/>
  <c r="E219" i="3" a="1"/>
  <c r="F569" i="3" a="1"/>
  <c r="C1039" i="3" a="1"/>
  <c r="D796" i="3" a="1"/>
  <c r="D352" i="3" a="1"/>
  <c r="A901" i="3" a="1"/>
  <c r="A520" i="3" a="1"/>
  <c r="E759" i="3" a="1"/>
  <c r="A916" i="3" a="1"/>
  <c r="C137" i="3" a="1"/>
  <c r="C108" i="3" a="1"/>
  <c r="B441" i="3" a="1"/>
  <c r="D364" i="3" a="1"/>
  <c r="F662" i="3" a="1"/>
  <c r="D228" i="3" a="1"/>
  <c r="F325" i="3" a="1"/>
  <c r="B98" i="3" a="1"/>
  <c r="C332" i="3" a="1"/>
  <c r="D517" i="3" a="1"/>
  <c r="D280" i="3" a="1"/>
  <c r="C9" i="3" a="1"/>
  <c r="A501" i="3" a="1"/>
  <c r="F457" i="3" a="1"/>
  <c r="E1220" i="3" a="1"/>
  <c r="C1197" i="3" a="1"/>
  <c r="A713" i="3" a="1"/>
  <c r="F397" i="3" a="1"/>
  <c r="F673" i="3" a="1"/>
  <c r="B468" i="3" a="1"/>
  <c r="B318" i="3" a="1"/>
  <c r="E334" i="3" a="1"/>
  <c r="C993" i="3" a="1"/>
  <c r="B398" i="3" a="1"/>
  <c r="A689" i="3" a="1"/>
  <c r="A1282" i="3" a="1"/>
  <c r="B472" i="3" a="1"/>
  <c r="F140" i="3" a="1"/>
  <c r="F384" i="3" a="1"/>
  <c r="D412" i="3" a="1"/>
  <c r="C287" i="3" a="1"/>
  <c r="C537" i="3" a="1"/>
  <c r="E367" i="3" a="1"/>
  <c r="E197" i="3" a="1"/>
  <c r="F56" i="3" a="1"/>
  <c r="F121" i="3" a="1"/>
  <c r="B190" i="3" a="1"/>
  <c r="D207" i="3" a="1"/>
  <c r="D487" i="3" a="1"/>
  <c r="C172" i="3" a="1"/>
  <c r="B184" i="3" a="1"/>
  <c r="B431" i="3" a="1"/>
  <c r="F678" i="3" a="1"/>
  <c r="C133" i="3" a="1"/>
  <c r="E64" i="3" a="1"/>
  <c r="F771" i="3" a="1"/>
  <c r="E17" i="3" a="1"/>
  <c r="E622" i="3" a="1"/>
  <c r="E57" i="3" a="1"/>
  <c r="B1145" i="3" a="1"/>
  <c r="E585" i="3" a="1"/>
  <c r="F1153" i="3" a="1"/>
  <c r="F92" i="3" a="1"/>
  <c r="C615" i="3" a="1"/>
  <c r="B772" i="3" a="1"/>
  <c r="B141" i="3" a="1"/>
  <c r="E116" i="3" a="1"/>
  <c r="B283" i="3" a="1"/>
  <c r="E445" i="3" a="1"/>
  <c r="A920" i="3" a="1"/>
  <c r="A20" i="3" a="1"/>
  <c r="A970" i="3" a="1"/>
  <c r="F85" i="3" a="1"/>
  <c r="A699" i="3" a="1"/>
  <c r="D844" i="3" a="1"/>
  <c r="A27" i="3" a="1"/>
  <c r="A864" i="3" a="1"/>
  <c r="A96" i="3" a="1"/>
  <c r="E157" i="3" a="1"/>
  <c r="D217" i="3" a="1"/>
  <c r="C409" i="3" a="1"/>
  <c r="D46" i="3" a="1"/>
  <c r="B429" i="3" a="1"/>
  <c r="A127" i="3" a="1"/>
  <c r="A564" i="3" a="1"/>
  <c r="F23" i="3" a="1"/>
  <c r="C689" i="3" a="1"/>
  <c r="E376" i="3" a="1"/>
  <c r="E456" i="3" a="1"/>
  <c r="B423" i="3" a="1"/>
  <c r="B180" i="3" a="1"/>
  <c r="A1182" i="3" a="1"/>
  <c r="C171" i="3" a="1"/>
  <c r="B387" i="3" a="1"/>
  <c r="D61" i="3" a="1"/>
  <c r="E175" i="3" a="1"/>
  <c r="E541" i="3" a="1"/>
  <c r="F311" i="3" a="1"/>
  <c r="E218" i="3" a="1"/>
  <c r="C414" i="3" a="1"/>
  <c r="C428" i="3" a="1"/>
  <c r="D23" i="3" a="1"/>
  <c r="D502" i="3" a="1"/>
  <c r="D1045" i="3" a="1"/>
  <c r="B1134" i="3" a="1"/>
  <c r="D706" i="3" a="1"/>
  <c r="B53" i="3" a="1"/>
  <c r="F1062" i="3" a="1"/>
  <c r="D791" i="3" a="1"/>
  <c r="F104" i="3" a="1"/>
  <c r="D347" i="3" a="1"/>
  <c r="F445" i="3" a="1"/>
  <c r="E418" i="3" a="1"/>
  <c r="F69" i="3" a="1"/>
  <c r="A377" i="3" a="1"/>
  <c r="D594" i="3" a="1"/>
  <c r="C516" i="3" a="1"/>
  <c r="C138" i="3" a="1"/>
  <c r="D1099" i="3" a="1"/>
  <c r="A6" i="3" a="1"/>
  <c r="B35" i="3" a="1"/>
  <c r="A1048" i="3" a="1"/>
  <c r="F1014" i="3" a="1"/>
  <c r="C657" i="3" a="1"/>
  <c r="C190" i="3" a="1"/>
  <c r="E807" i="3" a="1"/>
  <c r="E378" i="3" a="1"/>
  <c r="D969" i="3" a="1"/>
  <c r="E357" i="3" a="1"/>
  <c r="A293" i="3" a="1"/>
  <c r="D105" i="3" a="1"/>
  <c r="C19" i="3" a="1"/>
  <c r="E643" i="3" a="1"/>
  <c r="E45" i="3" a="1"/>
  <c r="A112" i="3" a="1"/>
  <c r="B255" i="3" a="1"/>
  <c r="B591" i="3" a="1"/>
  <c r="E39" i="3" a="1"/>
  <c r="D94" i="3" a="1"/>
  <c r="D806" i="3" a="1"/>
  <c r="D317" i="3" a="1"/>
  <c r="F96" i="3" a="1"/>
  <c r="B173" i="3" a="1"/>
  <c r="D820" i="3" a="1"/>
  <c r="A512" i="3" a="1"/>
  <c r="C1111" i="3" a="1"/>
  <c r="A419" i="3" a="1"/>
  <c r="C248" i="3" a="1"/>
  <c r="A440" i="3" a="1"/>
  <c r="C53" i="3" a="1"/>
  <c r="B200" i="3" a="1"/>
  <c r="A704" i="3" a="1"/>
  <c r="F403" i="3" a="1"/>
  <c r="B440" i="3" a="1"/>
  <c r="D428" i="3" a="1"/>
  <c r="B374" i="3" a="1"/>
  <c r="A410" i="3" a="1"/>
  <c r="D499" i="3" a="1"/>
  <c r="F863" i="3" a="1"/>
  <c r="F48" i="3" a="1"/>
  <c r="F1357" i="3" a="1"/>
  <c r="F87" i="3" a="1"/>
  <c r="E946" i="3" a="1"/>
  <c r="C348" i="3" a="1"/>
  <c r="A342" i="3" a="1"/>
  <c r="D1010" i="3" a="1"/>
  <c r="B1171" i="3" a="1"/>
  <c r="C506" i="3" a="1"/>
  <c r="C1017" i="3" a="1"/>
  <c r="E395" i="3" a="1"/>
  <c r="A535" i="3" a="1"/>
  <c r="F133" i="3" a="1"/>
  <c r="C72" i="3" a="1"/>
  <c r="C531" i="3" a="1"/>
  <c r="D985" i="3" a="1"/>
  <c r="C576" i="3" a="1"/>
  <c r="C980" i="3" a="1"/>
  <c r="B430" i="3" a="1"/>
  <c r="D491" i="3" a="1"/>
  <c r="A1420" i="3" a="1"/>
  <c r="D341" i="3" a="1"/>
  <c r="B438" i="3" a="1"/>
  <c r="D795" i="3" a="1"/>
  <c r="D190" i="3" a="1"/>
  <c r="E951" i="3" a="1"/>
  <c r="D460" i="3" a="1"/>
  <c r="D857" i="3" a="1"/>
  <c r="A473" i="3" a="1"/>
  <c r="D120" i="3" a="1"/>
  <c r="E412" i="3" a="1"/>
  <c r="E637" i="3" a="1"/>
  <c r="D99" i="3" a="1"/>
  <c r="F1183" i="3" a="1"/>
  <c r="E396" i="3" a="1"/>
  <c r="B356" i="3" a="1"/>
  <c r="E1064" i="3" a="1"/>
  <c r="E506" i="3" a="1"/>
  <c r="A503" i="3" a="1"/>
  <c r="D1237" i="3" a="1"/>
  <c r="C297" i="3" a="1"/>
  <c r="E249" i="3" a="1"/>
  <c r="C965" i="3" a="1"/>
  <c r="F413" i="3" a="1"/>
  <c r="A389" i="3" a="1"/>
  <c r="E40" i="3" a="1"/>
  <c r="F367" i="3" a="1"/>
  <c r="A162" i="3" a="1"/>
  <c r="E836" i="3" a="1"/>
  <c r="A515" i="3" a="1"/>
  <c r="F1374" i="3" a="1"/>
  <c r="F420" i="3" a="1"/>
  <c r="A575" i="3" a="1"/>
  <c r="C563" i="3" a="1"/>
  <c r="C594" i="3" a="1"/>
  <c r="A1099" i="3" a="1"/>
  <c r="D1202" i="3" a="1"/>
  <c r="F680" i="3" a="1"/>
  <c r="E6" i="3" a="1"/>
  <c r="F266" i="3" a="1"/>
  <c r="E1213" i="3" a="1"/>
  <c r="A122" i="3" a="1"/>
  <c r="C865" i="3" a="1"/>
  <c r="E9" i="3" a="1"/>
  <c r="A791" i="3" a="1"/>
  <c r="F909" i="3" a="1"/>
  <c r="E629" i="3" a="1"/>
  <c r="C237" i="3" a="1"/>
  <c r="E601" i="3" a="1"/>
  <c r="A131" i="3" a="1"/>
  <c r="C269" i="3" a="1"/>
  <c r="E356" i="3" a="1"/>
  <c r="D678" i="3" a="1"/>
  <c r="E538" i="3" a="1"/>
  <c r="C1120" i="3" a="1"/>
  <c r="E845" i="3" a="1"/>
  <c r="D130" i="3" a="1"/>
  <c r="D340" i="3" a="1"/>
  <c r="F480" i="3" a="1"/>
  <c r="C1374" i="3" a="1"/>
  <c r="D368" i="3" a="1"/>
  <c r="A66" i="3" a="1"/>
  <c r="C513" i="3" a="1"/>
  <c r="E247" i="3" a="1"/>
  <c r="D1022" i="3" a="1"/>
  <c r="F199" i="3" a="1"/>
  <c r="B79" i="3" a="1"/>
  <c r="E882" i="3" a="1"/>
  <c r="C15" i="3" a="1"/>
  <c r="F43" i="3" a="1"/>
  <c r="F125" i="3" a="1"/>
  <c r="B16" i="3" a="1"/>
  <c r="D380" i="3" a="1"/>
  <c r="B733" i="3" a="1"/>
  <c r="D1039" i="3" a="1"/>
  <c r="B879" i="3" a="1"/>
  <c r="B892" i="3" a="1"/>
  <c r="F36" i="3" a="1"/>
  <c r="A444" i="3" a="1"/>
  <c r="F32" i="3" a="1"/>
  <c r="D1114" i="3" a="1"/>
  <c r="E1151" i="3" a="1"/>
  <c r="C991" i="3" a="1"/>
  <c r="B337" i="3" a="1"/>
  <c r="C988" i="3" a="1"/>
  <c r="C115" i="3" a="1"/>
  <c r="D537" i="3" a="1"/>
  <c r="E337" i="3" a="1"/>
  <c r="E618" i="3" a="1"/>
  <c r="B30" i="3" a="1"/>
  <c r="B886" i="3" a="1"/>
  <c r="E1038" i="3" a="1"/>
  <c r="F928" i="3" a="1"/>
  <c r="C257" i="3" a="1"/>
  <c r="F1298" i="3" a="1"/>
  <c r="D953" i="3" a="1"/>
  <c r="F659" i="3" a="1"/>
  <c r="A284" i="3" a="1"/>
  <c r="B830" i="3" a="1"/>
  <c r="A1067" i="3" a="1"/>
  <c r="A454" i="3" a="1"/>
  <c r="E308" i="3" a="1"/>
  <c r="A205" i="3" a="1"/>
  <c r="A1036" i="3" a="1"/>
  <c r="E691" i="3" a="1"/>
  <c r="E895" i="3" a="1"/>
  <c r="F1211" i="3" a="1"/>
  <c r="F721" i="3" a="1"/>
  <c r="D424" i="3" a="1"/>
  <c r="E257" i="3" a="1"/>
  <c r="F345" i="3" a="1"/>
  <c r="C745" i="3" a="1"/>
  <c r="D500" i="3" a="1"/>
  <c r="F401" i="3" a="1"/>
  <c r="F279" i="3" a="1"/>
  <c r="D211" i="3" a="1"/>
  <c r="F276" i="3" a="1"/>
  <c r="E287" i="3" a="1"/>
  <c r="D422" i="3" a="1"/>
  <c r="A529" i="3" a="1"/>
  <c r="D529" i="3" a="1"/>
  <c r="A63" i="3" a="1"/>
  <c r="F42" i="3" a="1"/>
  <c r="E1155" i="3" a="1"/>
  <c r="B327" i="3" a="1"/>
  <c r="E232" i="3" a="1"/>
  <c r="A536" i="3" a="1"/>
  <c r="B312" i="3" a="1"/>
  <c r="C74" i="3" a="1"/>
  <c r="B787" i="3" a="1"/>
  <c r="C34" i="3" a="1"/>
  <c r="C1211" i="3" a="1"/>
  <c r="C358" i="3" a="1"/>
  <c r="D230" i="3" a="1"/>
  <c r="E867" i="3" a="1"/>
  <c r="C1152" i="3" a="1"/>
  <c r="B880" i="3" a="1"/>
  <c r="B717" i="3" a="1"/>
  <c r="C430" i="3" a="1"/>
  <c r="C87" i="3" a="1"/>
  <c r="E1065" i="3" a="1"/>
  <c r="A914" i="3" a="1"/>
  <c r="B4" i="3" a="1"/>
  <c r="D240" i="3" a="1"/>
  <c r="C1281" i="3" a="1"/>
  <c r="A915" i="3" a="1"/>
  <c r="A952" i="3" a="1"/>
  <c r="A642" i="3" a="1"/>
  <c r="A376" i="3" a="1"/>
  <c r="A305" i="3" a="1"/>
  <c r="B451" i="3" a="1"/>
  <c r="A330" i="3" a="1"/>
  <c r="C816" i="3" a="1"/>
  <c r="A753" i="3" a="1"/>
  <c r="A1073" i="3" a="1"/>
  <c r="E763" i="3" a="1"/>
  <c r="E871" i="3" a="1"/>
  <c r="F26" i="3" a="1"/>
  <c r="D446" i="3" a="1"/>
  <c r="F1074" i="3" a="1"/>
  <c r="B405" i="3" a="1"/>
  <c r="A18" i="3" a="1"/>
  <c r="C849" i="3" a="1"/>
  <c r="B145" i="3" a="1"/>
  <c r="D222" i="3" a="1"/>
  <c r="B780" i="3" a="1"/>
  <c r="A510" i="3" a="1"/>
  <c r="C291" i="3" a="1"/>
  <c r="C346" i="3" a="1"/>
  <c r="D433" i="3" a="1"/>
  <c r="C186" i="3" a="1"/>
  <c r="A315" i="3" a="1"/>
  <c r="F272" i="3" a="1"/>
  <c r="B161" i="3" a="1"/>
  <c r="A762" i="3" a="1"/>
  <c r="B59" i="3" a="1"/>
  <c r="A549" i="3" a="1"/>
  <c r="E344" i="3" a="1"/>
  <c r="C547" i="3" a="1"/>
  <c r="C703" i="3" a="1"/>
  <c r="F792" i="3" a="1"/>
  <c r="C370" i="3" a="1"/>
  <c r="F258" i="3" a="1"/>
  <c r="A177" i="3" a="1"/>
  <c r="F404" i="3" a="1"/>
  <c r="E1036" i="3" a="1"/>
  <c r="C353" i="3" a="1"/>
  <c r="A459" i="3" a="1"/>
  <c r="D68" i="3" a="1"/>
  <c r="D283" i="3" a="1"/>
  <c r="C856" i="3" a="1"/>
  <c r="B100" i="3" a="1"/>
  <c r="A86" i="3" a="1"/>
  <c r="D388" i="3" a="1"/>
  <c r="C83" i="3" a="1"/>
  <c r="F919" i="3" a="1"/>
  <c r="E554" i="3" a="1"/>
  <c r="B466" i="3" a="1"/>
  <c r="A392" i="3" a="1"/>
  <c r="A57" i="3" a="1"/>
  <c r="F304" i="3" a="1"/>
  <c r="B197" i="3" a="1"/>
  <c r="F708" i="3" a="1"/>
  <c r="B587" i="3" a="1"/>
  <c r="D321" i="3" a="1"/>
  <c r="D185" i="3" a="1"/>
  <c r="E447" i="3" a="1"/>
  <c r="B1271" i="3" a="1"/>
  <c r="A715" i="3" a="1"/>
  <c r="F361" i="3" a="1"/>
  <c r="E555" i="3" a="1"/>
  <c r="A958" i="3" a="1"/>
  <c r="D151" i="3" a="1"/>
  <c r="C776" i="3" a="1"/>
  <c r="A401" i="3" a="1"/>
  <c r="D370" i="3" a="1"/>
  <c r="B1021" i="3" a="1"/>
  <c r="C247" i="3" a="1"/>
  <c r="D1124" i="3" a="1"/>
  <c r="C873" i="3" a="1"/>
  <c r="D326" i="3" a="1"/>
  <c r="F513" i="3" a="1"/>
  <c r="E609" i="3" a="1"/>
  <c r="C268" i="3" a="1"/>
  <c r="C771" i="3" a="1"/>
  <c r="B528" i="3" a="1"/>
  <c r="E58" i="3" a="1"/>
  <c r="F377" i="3" a="1"/>
  <c r="E221" i="3" a="1"/>
  <c r="E1291" i="3" a="1"/>
  <c r="B748" i="3" a="1"/>
  <c r="B70" i="3" a="1"/>
  <c r="C382" i="3" a="1"/>
  <c r="A928" i="3" a="1"/>
  <c r="F638" i="3" a="1"/>
  <c r="E1276" i="3" a="1"/>
  <c r="C255" i="3" a="1"/>
  <c r="C197" i="3" a="1"/>
  <c r="F17" i="3" a="1"/>
  <c r="B195" i="3" a="1"/>
  <c r="C1179" i="3" a="1"/>
  <c r="D819" i="3" a="1"/>
  <c r="B328" i="3" a="1"/>
  <c r="E228" i="3" a="1"/>
  <c r="B366" i="3" a="1"/>
  <c r="A479" i="3" a="1"/>
  <c r="D203" i="3" a="1"/>
  <c r="A414" i="3" a="1"/>
  <c r="C52" i="3" a="1"/>
  <c r="A705" i="3" a="1"/>
  <c r="B976" i="3" a="1"/>
  <c r="D1077" i="3" a="1"/>
  <c r="E82" i="3" a="1"/>
  <c r="E1372" i="3" a="1"/>
  <c r="A989" i="3" a="1"/>
  <c r="F484" i="3" a="1"/>
  <c r="E97" i="3" a="1"/>
  <c r="C678" i="3" a="1"/>
  <c r="E48" i="3" a="1"/>
  <c r="F165" i="3" a="1"/>
  <c r="B304" i="3" a="1"/>
  <c r="E121" i="3" a="1"/>
  <c r="D983" i="3" a="1"/>
  <c r="E79" i="3" a="1"/>
  <c r="C151" i="3" a="1"/>
  <c r="C772" i="3" a="1"/>
  <c r="C1112" i="3" a="1"/>
  <c r="E479" i="3" a="1"/>
  <c r="B300" i="3" a="1"/>
  <c r="F1137" i="3" a="1"/>
  <c r="C1241" i="3" a="1"/>
  <c r="A918" i="3" a="1"/>
  <c r="B278" i="3" a="1"/>
  <c r="A101" i="3" a="1"/>
  <c r="C262" i="3" a="1"/>
  <c r="C1001" i="3" a="1"/>
  <c r="E346" i="3" a="1"/>
  <c r="F745" i="3" a="1"/>
  <c r="D1125" i="3" a="1"/>
  <c r="E611" i="3" a="1"/>
  <c r="D126" i="3" a="1"/>
  <c r="B1198" i="3" a="1"/>
  <c r="E855" i="3" a="1"/>
  <c r="A211" i="3" a="1"/>
  <c r="E336" i="3" a="1"/>
  <c r="E185" i="3" a="1"/>
  <c r="D372" i="3" a="1"/>
  <c r="D618" i="3" a="1"/>
  <c r="F970" i="3" a="1"/>
  <c r="B3" i="3" a="1"/>
  <c r="C6" i="3" a="1"/>
  <c r="E586" i="3" a="1"/>
  <c r="A1017" i="3" a="1"/>
  <c r="E515" i="3" a="1"/>
  <c r="B474" i="3" a="1"/>
  <c r="F40" i="3" a="1"/>
  <c r="C758" i="3" a="1"/>
  <c r="A808" i="3" a="1"/>
  <c r="A682" i="3" a="1"/>
  <c r="E422" i="3" a="1"/>
  <c r="D1293" i="3" a="1"/>
  <c r="E159" i="3" a="1"/>
  <c r="D423" i="3" a="1"/>
  <c r="F250" i="3" a="1"/>
  <c r="A821" i="3" a="1"/>
  <c r="C1018" i="3" a="1"/>
  <c r="B237" i="3" a="1"/>
  <c r="D1343" i="3" a="1"/>
  <c r="B331" i="3" a="1"/>
  <c r="A395" i="3" a="1"/>
  <c r="F699" i="3" a="1"/>
  <c r="C22" i="3" a="1"/>
  <c r="F532" i="3" a="1"/>
  <c r="B157" i="3" a="1"/>
  <c r="B814" i="3" a="1"/>
  <c r="F371" i="3" a="1"/>
  <c r="F312" i="3" a="1"/>
  <c r="A19" i="3" a="1"/>
  <c r="C469" i="3" a="1"/>
  <c r="A320" i="3" a="1"/>
  <c r="F499" i="3" a="1"/>
  <c r="C68" i="3" a="1"/>
  <c r="D761" i="3" a="1"/>
  <c r="C191" i="3" a="1"/>
  <c r="E716" i="3" a="1"/>
  <c r="F280" i="3" a="1"/>
  <c r="B1119" i="3" a="1"/>
  <c r="C636" i="3" a="1"/>
  <c r="A202" i="3" a="1"/>
  <c r="A199" i="3" a="1"/>
  <c r="C590" i="3" a="1"/>
  <c r="A710" i="3" a="1"/>
  <c r="B400" i="3" a="1"/>
  <c r="B355" i="3" a="1"/>
  <c r="A267" i="3" a="1"/>
  <c r="B1111" i="3" a="1"/>
  <c r="A1151" i="3" a="1"/>
  <c r="A228" i="3" a="1"/>
  <c r="A867" i="3" a="1"/>
  <c r="D549" i="3" a="1"/>
  <c r="D36" i="3" a="1"/>
  <c r="C362" i="3" a="1"/>
  <c r="F77" i="3" a="1"/>
  <c r="F855" i="3" a="1"/>
  <c r="C515" i="3" a="1"/>
  <c r="D66" i="3" a="1"/>
  <c r="F643" i="3" a="1"/>
  <c r="A1241" i="3" a="1"/>
  <c r="D445" i="3" a="1"/>
  <c r="C399" i="3" a="1"/>
  <c r="B763" i="3" a="1"/>
  <c r="B881" i="3" a="1"/>
  <c r="C199" i="3" a="1"/>
  <c r="B285" i="3" a="1"/>
  <c r="C82" i="3" a="1"/>
  <c r="E1007" i="3" a="1"/>
  <c r="D1071" i="3" a="1"/>
  <c r="E278" i="3" a="1"/>
  <c r="A181" i="3" a="1"/>
  <c r="D623" i="3" a="1"/>
  <c r="B851" i="3" a="1"/>
  <c r="A755" i="3" a="1"/>
  <c r="B198" i="3" a="1"/>
  <c r="E273" i="3" a="1"/>
  <c r="D897" i="3" a="1"/>
  <c r="A212" i="3" a="1"/>
  <c r="F430" i="3" a="1"/>
  <c r="C231" i="3" a="1"/>
  <c r="E744" i="3" a="1"/>
  <c r="B891" i="3" a="1"/>
  <c r="A168" i="3" a="1"/>
  <c r="A453" i="3" a="1"/>
  <c r="F113" i="3" a="1"/>
  <c r="B244" i="3" a="1"/>
  <c r="C111" i="3" a="1"/>
  <c r="D78" i="3" a="1"/>
  <c r="D162" i="3" a="1"/>
  <c r="D342" i="3" a="1"/>
  <c r="D209" i="3" a="1"/>
  <c r="D850" i="3" a="1"/>
  <c r="D333" i="3" a="1"/>
  <c r="A590" i="3" a="1"/>
  <c r="A1395" i="3" a="1"/>
  <c r="C123" i="3" a="1"/>
  <c r="C390" i="3" a="1"/>
  <c r="E250" i="3" a="1"/>
  <c r="F1081" i="3" a="1"/>
  <c r="F657" i="3" a="1"/>
  <c r="C713" i="3" a="1"/>
  <c r="A839" i="3" a="1"/>
  <c r="B51" i="3" a="1"/>
  <c r="C1378" i="3" a="1"/>
  <c r="F489" i="3" a="1"/>
  <c r="A109" i="3" a="1"/>
  <c r="C117" i="3" a="1"/>
  <c r="E354" i="3" a="1"/>
  <c r="A425" i="3" a="1"/>
  <c r="D1215" i="3" a="1"/>
  <c r="C887" i="3" a="1"/>
  <c r="B677" i="3" a="1"/>
  <c r="D213" i="3" a="1"/>
  <c r="F142" i="3" a="1"/>
  <c r="F615" i="3" a="1"/>
  <c r="E201" i="3" a="1"/>
  <c r="D1015" i="3" a="1"/>
  <c r="B800" i="3" a="1"/>
  <c r="E625" i="3" a="1"/>
  <c r="F1050" i="3" a="1"/>
  <c r="C746" i="3" a="1"/>
  <c r="A964" i="3" a="1"/>
  <c r="D735" i="3" a="1"/>
  <c r="B251" i="3" a="1"/>
  <c r="A956" i="3" a="1"/>
  <c r="E35" i="3" a="1"/>
  <c r="A967" i="3" a="1"/>
  <c r="F1083" i="3" a="1"/>
  <c r="C777" i="3" a="1"/>
  <c r="E546" i="3" a="1"/>
  <c r="B106" i="3" a="1"/>
  <c r="C67" i="3" a="1"/>
  <c r="D789" i="3" a="1"/>
  <c r="A201" i="3" a="1"/>
  <c r="A1299" i="3" a="1"/>
  <c r="A519" i="3" a="1"/>
  <c r="D628" i="3" a="1"/>
  <c r="B1333" i="3" a="1"/>
  <c r="D1257" i="3" a="1"/>
  <c r="F34" i="3" a="1"/>
  <c r="C226" i="3" a="1"/>
  <c r="C862" i="3" a="1"/>
  <c r="D1033" i="3" a="1"/>
  <c r="E540" i="3" a="1"/>
  <c r="F334" i="3" a="1"/>
  <c r="C236" i="3" a="1"/>
  <c r="C598" i="3" a="1"/>
  <c r="D324" i="3" a="1"/>
  <c r="E285" i="3" a="1"/>
  <c r="A672" i="3" a="1"/>
  <c r="B979" i="3" a="1"/>
  <c r="F621" i="3" a="1"/>
  <c r="B553" i="3" a="1"/>
  <c r="E153" i="3" a="1"/>
  <c r="E298" i="3" a="1"/>
  <c r="A84" i="3" a="1"/>
  <c r="A171" i="3" a="1"/>
  <c r="E548" i="3" a="1"/>
  <c r="A752" i="3" a="1"/>
  <c r="A275" i="3" a="1"/>
  <c r="D1009" i="3" a="1"/>
  <c r="D133" i="3" a="1"/>
  <c r="C600" i="3" a="1"/>
  <c r="A276" i="3" a="1"/>
  <c r="F1041" i="3" a="1"/>
  <c r="B521" i="3" a="1"/>
  <c r="A1142" i="3" a="1"/>
  <c r="C559" i="3" a="1"/>
  <c r="A894" i="3" a="1"/>
  <c r="D1086" i="3" a="1"/>
  <c r="B12" i="3" a="1"/>
  <c r="A483" i="3" a="1"/>
  <c r="F200" i="3" a="1"/>
  <c r="B816" i="3" a="1"/>
  <c r="B447" i="3" a="1"/>
  <c r="E365" i="3" a="1"/>
  <c r="D144" i="3" a="1"/>
  <c r="F916" i="3" a="1"/>
  <c r="D1032" i="3" a="1"/>
  <c r="D401" i="3" a="1"/>
  <c r="C1096" i="3" a="1"/>
  <c r="F648" i="3" a="1"/>
  <c r="C482" i="3" a="1"/>
  <c r="A1328" i="3" a="1"/>
  <c r="E330" i="3" a="1"/>
  <c r="B170" i="3" a="1"/>
  <c r="A863" i="3" a="1"/>
  <c r="E47" i="3" a="1"/>
  <c r="C1181" i="3" a="1"/>
  <c r="B14" i="3" a="1"/>
  <c r="A2" i="3" a="1"/>
  <c r="D164" i="3" a="1"/>
  <c r="E572" i="3" a="1"/>
  <c r="A875" i="3" a="1"/>
  <c r="C1048" i="3" a="1"/>
  <c r="F550" i="3" a="1"/>
  <c r="B378" i="3" a="1"/>
  <c r="C160" i="3" a="1"/>
  <c r="B1016" i="3" a="1"/>
  <c r="C1307" i="3" a="1"/>
  <c r="D393" i="3" a="1"/>
  <c r="F728" i="3" a="1"/>
  <c r="F218" i="3" a="1"/>
  <c r="D121" i="3" a="1"/>
  <c r="D745" i="3" a="1"/>
  <c r="E37" i="3" a="1"/>
  <c r="B338" i="3" a="1"/>
  <c r="B755" i="3" a="1"/>
  <c r="D198" i="3" a="1"/>
  <c r="F103" i="3" a="1"/>
  <c r="D332" i="3" a="1"/>
  <c r="F221" i="3" a="1"/>
  <c r="A145" i="3" a="1"/>
  <c r="E575" i="3" a="1"/>
  <c r="A265" i="3" a="1"/>
  <c r="D550" i="3" a="1"/>
  <c r="E196" i="3" a="1"/>
  <c r="C560" i="3" a="1"/>
  <c r="D1097" i="3" a="1"/>
  <c r="C153" i="3" a="1"/>
  <c r="F216" i="3" a="1"/>
  <c r="C517" i="3" a="1"/>
  <c r="E162" i="3" a="1"/>
  <c r="F1373" i="3" a="1"/>
  <c r="F372" i="3" a="1"/>
  <c r="F488" i="3" a="1"/>
  <c r="E770" i="3" a="1"/>
  <c r="E397" i="3" a="1"/>
  <c r="C505" i="3" a="1"/>
  <c r="D605" i="3" a="1"/>
  <c r="B55" i="3" a="1"/>
  <c r="F9" i="3" a="1"/>
  <c r="D464" i="3" a="1"/>
  <c r="D1068" i="3" a="1"/>
  <c r="D506" i="3" a="1"/>
  <c r="F871" i="3" a="1"/>
  <c r="E977" i="3" a="1"/>
  <c r="F655" i="3" a="1"/>
  <c r="F819" i="3" a="1"/>
  <c r="C942" i="3" a="1"/>
  <c r="C394" i="3" a="1"/>
  <c r="F933" i="3" a="1"/>
  <c r="B914" i="3" a="1"/>
  <c r="E465" i="3" a="1"/>
  <c r="C681" i="3" a="1"/>
  <c r="F39" i="3" a="1"/>
  <c r="E741" i="3" a="1"/>
  <c r="F301" i="3" a="1"/>
  <c r="C778" i="3" a="1"/>
  <c r="A16" i="3" a="1"/>
  <c r="E680" i="3" a="1"/>
  <c r="C205" i="3" a="1"/>
  <c r="C442" i="3" a="1"/>
  <c r="A413" i="3" a="1"/>
  <c r="A571" i="3" a="1"/>
  <c r="F267" i="3" a="1"/>
  <c r="C752" i="3" a="1"/>
  <c r="A896" i="3" a="1"/>
  <c r="C1125" i="3" a="1"/>
  <c r="F188" i="3" a="1"/>
  <c r="D567" i="3" a="1"/>
  <c r="E768" i="3" a="1"/>
  <c r="B1405" i="3" a="1"/>
  <c r="E497" i="3" a="1"/>
  <c r="F689" i="3" a="1"/>
  <c r="B286" i="3" a="1"/>
  <c r="E584" i="3" a="1"/>
  <c r="A104" i="3" a="1"/>
  <c r="F273" i="3" a="1"/>
  <c r="C1401" i="3" a="1"/>
  <c r="E801" i="3" a="1"/>
  <c r="F157" i="3" a="1"/>
  <c r="D1092" i="3" a="1"/>
  <c r="C326" i="3" a="1"/>
  <c r="E1053" i="3" a="1"/>
  <c r="E335" i="3" a="1"/>
  <c r="B1287" i="3" a="1"/>
  <c r="A161" i="3" a="1"/>
  <c r="D496" i="3" a="1"/>
  <c r="D1264" i="3" a="1"/>
  <c r="A319" i="3" a="1"/>
  <c r="D512" i="3" a="1"/>
  <c r="B105" i="3" a="1"/>
  <c r="E802" i="3" a="1"/>
  <c r="F342" i="3" a="1"/>
  <c r="A176" i="3" a="1"/>
  <c r="C398" i="3" a="1"/>
  <c r="C1191" i="3" a="1"/>
  <c r="B187" i="3" a="1"/>
  <c r="C1088" i="3" a="1"/>
  <c r="F1267" i="3" a="1"/>
  <c r="E841" i="3" a="1"/>
  <c r="B817" i="3" a="1"/>
  <c r="A311" i="3" a="1"/>
  <c r="B7" i="3" a="1"/>
  <c r="B149" i="3" a="1"/>
  <c r="D112" i="3" a="1"/>
  <c r="D320" i="3" a="1"/>
  <c r="C801" i="3" a="1"/>
  <c r="B316" i="3" a="1"/>
  <c r="F1323" i="3" a="1"/>
  <c r="C215" i="3" a="1"/>
  <c r="E939" i="3" a="1"/>
  <c r="C1029" i="3" a="1"/>
  <c r="A1040" i="3" a="1"/>
  <c r="A673" i="3" a="1"/>
  <c r="A1286" i="3" a="1"/>
  <c r="D1250" i="3" a="1"/>
  <c r="A818" i="3" a="1"/>
  <c r="A106" i="3" a="1"/>
  <c r="D187" i="3" a="1"/>
  <c r="A391" i="3" a="1"/>
  <c r="D62" i="3" a="1"/>
  <c r="C978" i="3" a="1"/>
  <c r="B552" i="3" a="1"/>
  <c r="D1056" i="3" a="1"/>
  <c r="F548" i="3" a="1"/>
  <c r="A240" i="3" a="1"/>
  <c r="F1215" i="3" a="1"/>
  <c r="A1264" i="3" a="1"/>
  <c r="C975" i="3" a="1"/>
  <c r="A174" i="3" a="1"/>
  <c r="F534" i="3" a="1"/>
  <c r="C847" i="3" a="1"/>
  <c r="C854" i="3" a="1"/>
  <c r="E786" i="3" a="1"/>
  <c r="A241" i="3" a="1"/>
  <c r="A182" i="3" a="1"/>
  <c r="C474" i="3" a="1"/>
  <c r="A637" i="3" a="1"/>
  <c r="F827" i="3" a="1"/>
  <c r="F733" i="3" a="1"/>
  <c r="A569" i="3" a="1"/>
  <c r="D495" i="3" a="1"/>
  <c r="B595" i="3" a="1"/>
  <c r="A822" i="3" a="1"/>
  <c r="F109" i="3" a="1"/>
  <c r="D808" i="3" a="1"/>
  <c r="D657" i="3" a="1"/>
  <c r="A793" i="3" a="1"/>
  <c r="B38" i="3" a="1"/>
  <c r="F444" i="3" a="1"/>
  <c r="B299" i="3" a="1"/>
  <c r="B670" i="3" a="1"/>
  <c r="A381" i="3" a="1"/>
  <c r="F425" i="3" a="1"/>
  <c r="F447" i="3" a="1"/>
  <c r="A333" i="3" a="1"/>
  <c r="C492" i="3" a="1"/>
  <c r="E160" i="3" a="1"/>
  <c r="C956" i="3" a="1"/>
  <c r="E1273" i="3" a="1"/>
  <c r="D1278" i="3" a="1"/>
  <c r="B823" i="3" a="1"/>
  <c r="E761" i="3" a="1"/>
  <c r="A121" i="3" a="1"/>
  <c r="D563" i="3" a="1"/>
  <c r="C301" i="3" a="1"/>
  <c r="A1217" i="3" a="1"/>
  <c r="C462" i="3" a="1"/>
  <c r="C1175" i="3" a="1"/>
  <c r="C544" i="3" a="1"/>
  <c r="A542" i="3" a="1"/>
  <c r="D804" i="3" a="1"/>
  <c r="B963" i="3" a="1"/>
  <c r="E508" i="3" a="1"/>
  <c r="E898" i="3" a="1"/>
  <c r="F939" i="3" a="1"/>
  <c r="F381" i="3" a="1"/>
  <c r="C651" i="3" a="1"/>
  <c r="D1324" i="3" a="1"/>
  <c r="A25" i="3" a="1"/>
  <c r="F1377" i="3" a="1"/>
  <c r="E810" i="3" a="1"/>
  <c r="D1401" i="3" a="1"/>
  <c r="A784" i="3" a="1"/>
  <c r="A487" i="3" a="1"/>
  <c r="E415" i="3" a="1"/>
  <c r="C961" i="3" a="1"/>
  <c r="E282" i="3" a="1"/>
  <c r="D176" i="3" a="1"/>
  <c r="B194" i="3" a="1"/>
  <c r="C337" i="3" a="1"/>
  <c r="B146" i="3" a="1"/>
  <c r="B605" i="3" a="1"/>
  <c r="D542" i="3" a="1"/>
  <c r="F44" i="3" a="1"/>
  <c r="B235" i="3" a="1"/>
  <c r="E269" i="3" a="1"/>
  <c r="B762" i="3" a="1"/>
  <c r="D119" i="3" a="1"/>
  <c r="B319" i="3" a="1"/>
  <c r="D268" i="3" a="1"/>
  <c r="A53" i="3" a="1"/>
  <c r="B413" i="3" a="1"/>
  <c r="F259" i="3" a="1"/>
  <c r="B26" i="3" a="1"/>
  <c r="B698" i="3" a="1"/>
  <c r="C264" i="3" a="1"/>
  <c r="B135" i="3" a="1"/>
  <c r="D427" i="3" a="1"/>
  <c r="E1165" i="3" a="1"/>
  <c r="A1159" i="3" a="1"/>
  <c r="D157" i="3" a="1"/>
  <c r="A458" i="3" a="1"/>
  <c r="F824" i="3" a="1"/>
  <c r="E1283" i="3" a="1"/>
  <c r="D356" i="3" a="1"/>
  <c r="F583" i="3" a="1"/>
  <c r="B623" i="3" a="1"/>
  <c r="C249" i="3" a="1"/>
  <c r="D766" i="3" a="1"/>
  <c r="A858" i="3" a="1"/>
  <c r="C920" i="3" a="1"/>
  <c r="C97" i="3" a="1"/>
  <c r="B442" i="3" a="1"/>
  <c r="A708" i="3" a="1"/>
  <c r="B1310" i="3" a="1"/>
  <c r="C1337" i="3" a="1"/>
  <c r="C1107" i="3" a="1"/>
  <c r="F529" i="3" a="1"/>
  <c r="F1208" i="3" a="1"/>
  <c r="C918" i="3" a="1"/>
  <c r="B359" i="3" a="1"/>
  <c r="C154" i="3" a="1"/>
  <c r="B744" i="3" a="1"/>
  <c r="A383" i="3" a="1"/>
  <c r="D993" i="3" a="1"/>
  <c r="A492" i="3" a="1"/>
  <c r="E304" i="3" a="1"/>
  <c r="F1165" i="3" a="1"/>
  <c r="C16" i="3" a="1"/>
  <c r="E1371" i="3" a="1"/>
  <c r="F108" i="3" a="1"/>
  <c r="B220" i="3" a="1"/>
  <c r="F262" i="3" a="1"/>
  <c r="D862" i="3" a="1"/>
  <c r="F1206" i="3" a="1"/>
  <c r="F294" i="3" a="1"/>
  <c r="A424" i="3" a="1"/>
  <c r="E576" i="3" a="1"/>
  <c r="D159" i="3" a="1"/>
  <c r="A30" i="3" a="1"/>
  <c r="A363" i="3" a="1"/>
  <c r="B616" i="3" a="1"/>
  <c r="A1056" i="3" a="1"/>
  <c r="E1327" i="3" a="1"/>
  <c r="E352" i="3" a="1"/>
  <c r="B941" i="3" a="1"/>
  <c r="B894" i="3" a="1"/>
  <c r="D467" i="3" a="1"/>
  <c r="B619" i="3" a="1"/>
  <c r="B284" i="3" a="1"/>
  <c r="A804" i="3" a="1"/>
  <c r="B445" i="3" a="1"/>
  <c r="D327" i="3" a="1"/>
  <c r="C570" i="3" a="1"/>
  <c r="B827" i="3" a="1"/>
  <c r="F456" i="3" a="1"/>
  <c r="B897" i="3" a="1"/>
  <c r="C578" i="3" a="1"/>
  <c r="D338" i="3" a="1"/>
  <c r="C391" i="3" a="1"/>
  <c r="B290" i="3" a="1"/>
  <c r="F765" i="3" a="1"/>
  <c r="E381" i="3" a="1"/>
  <c r="D691" i="3" a="1"/>
  <c r="D171" i="3" a="1"/>
  <c r="E408" i="3" a="1"/>
  <c r="A38" i="3" a="1"/>
  <c r="F198" i="3" a="1"/>
  <c r="E885" i="3" a="1"/>
  <c r="D516" i="3" a="1"/>
  <c r="A368" i="3" a="1"/>
  <c r="A941" i="3" a="1"/>
  <c r="F172" i="3" a="1"/>
  <c r="F118" i="3" a="1"/>
  <c r="D1053" i="3" a="1"/>
  <c r="E1070" i="3" a="1"/>
  <c r="D383" i="3" a="1"/>
  <c r="F353" i="3" a="1"/>
  <c r="D269" i="3" a="1"/>
  <c r="A290" i="3" a="1"/>
  <c r="C387" i="3" a="1"/>
  <c r="E736" i="3" a="1"/>
  <c r="C497" i="3" a="1"/>
  <c r="A1402" i="3" a="1"/>
  <c r="E850" i="3" a="1"/>
  <c r="A272" i="3" a="1"/>
  <c r="D1186" i="3" a="1"/>
  <c r="F809" i="3" a="1"/>
  <c r="A871" i="3" a="1"/>
  <c r="C381" i="3" a="1"/>
  <c r="D948" i="3" a="1"/>
  <c r="C25" i="3" a="1"/>
  <c r="B457" i="3" a="1"/>
  <c r="F734" i="3" a="1"/>
  <c r="D389" i="3" a="1"/>
  <c r="C709" i="3" a="1"/>
  <c r="A947" i="3" a="1"/>
  <c r="B840" i="3" a="1"/>
  <c r="E529" i="3" a="1"/>
  <c r="C283" i="3" a="1"/>
  <c r="C65" i="3" a="1"/>
  <c r="D180" i="3" a="1"/>
  <c r="E264" i="3" a="1"/>
  <c r="B807" i="3" a="1"/>
  <c r="D741" i="3" a="1"/>
  <c r="B667" i="3" a="1"/>
  <c r="D123" i="3" a="1"/>
  <c r="C807" i="3" a="1"/>
  <c r="F37" i="3" a="1"/>
  <c r="D396" i="3" a="1"/>
  <c r="F1179" i="3" a="1"/>
  <c r="B315" i="3" a="1"/>
  <c r="B39" i="3" a="1"/>
  <c r="F1219" i="3" a="1"/>
  <c r="B384" i="3" a="1"/>
  <c r="B281" i="3" a="1"/>
  <c r="E212" i="3" a="1"/>
  <c r="B31" i="3" a="1"/>
  <c r="F288" i="3" a="1"/>
  <c r="E1282" i="3" a="1"/>
  <c r="A604" i="3" a="1"/>
  <c r="D754" i="3" a="1"/>
  <c r="F634" i="3" a="1"/>
  <c r="C311" i="3" a="1"/>
  <c r="A193" i="3" a="1"/>
  <c r="F82" i="3" a="1"/>
  <c r="B436" i="3" a="1"/>
  <c r="B724" i="3" a="1"/>
  <c r="A1173" i="3" a="1"/>
  <c r="B310" i="3" a="1"/>
  <c r="C23" i="3" a="1"/>
  <c r="B11" i="3" a="1"/>
  <c r="C1073" i="3" a="1"/>
  <c r="E481" i="3" a="1"/>
  <c r="D432" i="3" a="1"/>
  <c r="F503" i="3" a="1"/>
  <c r="B1327" i="3" a="1"/>
  <c r="D520" i="3" a="1"/>
  <c r="B346" i="3" a="1"/>
  <c r="B345" i="3" a="1"/>
  <c r="B613" i="3" a="1"/>
  <c r="B446" i="3" a="1"/>
  <c r="E240" i="3" a="1"/>
  <c r="B730" i="3" a="1"/>
  <c r="F362" i="3" a="1"/>
  <c r="C1049" i="3" a="1"/>
  <c r="E139" i="3" a="1"/>
  <c r="D915" i="3" a="1"/>
  <c r="A242" i="3" a="1"/>
  <c r="F646" i="3" a="1"/>
  <c r="C553" i="3" a="1"/>
  <c r="C957" i="3" a="1"/>
  <c r="E829" i="3" a="1"/>
  <c r="B600" i="3" a="1"/>
  <c r="F455" i="3" a="1"/>
  <c r="B443" i="3" a="1"/>
  <c r="B739" i="3" a="1"/>
  <c r="C276" i="3" a="1"/>
  <c r="D508" i="3" a="1"/>
  <c r="B480" i="3" a="1"/>
  <c r="B802" i="3" a="1"/>
  <c r="C851" i="3" a="1"/>
  <c r="F900" i="3" a="1"/>
  <c r="C1268" i="3" a="1"/>
  <c r="F382" i="3" a="1"/>
  <c r="D801" i="3" a="1"/>
  <c r="D831" i="3" a="1"/>
  <c r="A939" i="3" a="1"/>
  <c r="C593" i="3" a="1"/>
  <c r="B711" i="3" a="1"/>
  <c r="C528" i="3" a="1"/>
  <c r="A1078" i="3" a="1"/>
  <c r="A237" i="3" a="1"/>
  <c r="B1028" i="3" a="1"/>
  <c r="E547" i="3" a="1"/>
  <c r="F477" i="3" a="1"/>
  <c r="C285" i="3" a="1"/>
  <c r="C339" i="3" a="1"/>
  <c r="A353" i="3" a="1"/>
  <c r="B336" i="3" a="1"/>
  <c r="F606" i="3" a="1"/>
  <c r="C911" i="3" a="1"/>
  <c r="B958" i="3" a="1"/>
  <c r="D720" i="3" a="1"/>
  <c r="F408" i="3" a="1"/>
  <c r="F637" i="3" a="1"/>
  <c r="E1033" i="3" a="1"/>
  <c r="C638" i="3" a="1"/>
  <c r="A845" i="3" a="1"/>
  <c r="D839" i="3" a="1"/>
  <c r="D206" i="3" a="1"/>
  <c r="B878" i="3" a="1"/>
  <c r="A374" i="3" a="1"/>
  <c r="A1202" i="3" a="1"/>
  <c r="B1349" i="3" a="1"/>
  <c r="D311" i="3" a="1"/>
  <c r="F911" i="3" a="1"/>
  <c r="B470" i="3" a="1"/>
  <c r="F762" i="3" a="1"/>
  <c r="C520" i="3" a="1"/>
  <c r="F1057" i="3" a="1"/>
  <c r="A702" i="3" a="1"/>
  <c r="A157" i="3" a="1"/>
  <c r="A442" i="3" a="1"/>
  <c r="D267" i="3" a="1"/>
  <c r="B1378" i="3" a="1"/>
  <c r="F469" i="3" a="1"/>
  <c r="D135" i="3" a="1"/>
  <c r="F575" i="3" a="1"/>
  <c r="B867" i="3" a="1"/>
  <c r="A97" i="3" a="1"/>
  <c r="E1224" i="3" a="1"/>
  <c r="B434" i="3" a="1"/>
  <c r="E681" i="3" a="1"/>
  <c r="B1143" i="3" a="1"/>
  <c r="E426" i="3" a="1"/>
  <c r="A1407" i="3" a="1"/>
  <c r="E13" i="3" a="1"/>
  <c r="C210" i="3" a="1"/>
  <c r="E431" i="3" a="1"/>
  <c r="C639" i="3" a="1"/>
  <c r="B753" i="3" a="1"/>
  <c r="A779" i="3" a="1"/>
  <c r="B253" i="3" a="1"/>
  <c r="E471" i="3" a="1"/>
  <c r="A245" i="3" a="1"/>
  <c r="F88" i="3" a="1"/>
  <c r="D846" i="3" a="1"/>
  <c r="E272" i="3" a="1"/>
  <c r="A556" i="3" a="1"/>
  <c r="F1244" i="3" a="1"/>
  <c r="A573" i="3" a="1"/>
  <c r="D812" i="3" a="1"/>
  <c r="A91" i="3" a="1"/>
  <c r="A619" i="3" a="1"/>
  <c r="B259" i="3" a="1"/>
  <c r="F239" i="3" a="1"/>
  <c r="C480" i="3" a="1"/>
  <c r="C634" i="3" a="1"/>
  <c r="A616" i="3" a="1"/>
  <c r="F859" i="3" a="1"/>
  <c r="A142" i="3" a="1"/>
  <c r="D252" i="3" a="1"/>
  <c r="F360" i="3" a="1"/>
  <c r="D541" i="3" a="1"/>
  <c r="A1119" i="3" a="1"/>
  <c r="F248" i="3" a="1"/>
  <c r="F107" i="3" a="1"/>
  <c r="B182" i="3" a="1"/>
  <c r="B379" i="3" a="1"/>
  <c r="F51" i="3" a="1"/>
  <c r="B382" i="3" a="1"/>
  <c r="B459" i="3" a="1"/>
  <c r="D906" i="3" a="1"/>
  <c r="E765" i="3" a="1"/>
  <c r="A133" i="3" a="1"/>
  <c r="C417" i="3" a="1"/>
  <c r="D345" i="3" a="1"/>
  <c r="F1017" i="3" a="1"/>
  <c r="C781" i="3" a="1"/>
  <c r="E467" i="3" a="1"/>
  <c r="A306" i="3" a="1"/>
  <c r="D1076" i="3" a="1"/>
  <c r="C1394" i="3" a="1"/>
  <c r="F602" i="3" a="1"/>
  <c r="E235" i="3" a="1"/>
  <c r="A188" i="3" a="1"/>
  <c r="E60" i="3" a="1"/>
  <c r="F148" i="3" a="1"/>
  <c r="B575" i="3" a="1"/>
  <c r="F383" i="3" a="1"/>
  <c r="E1389" i="3" a="1"/>
  <c r="B416" i="3" a="1"/>
  <c r="E835" i="3" a="1"/>
  <c r="D627" i="3" a="1"/>
  <c r="A963" i="3" a="1"/>
  <c r="E1257" i="3" a="1"/>
  <c r="A120" i="3" a="1"/>
  <c r="E524" i="3" a="1"/>
  <c r="B350" i="3" a="1"/>
  <c r="E322" i="3" a="1"/>
  <c r="B608" i="3" a="1"/>
  <c r="C1336" i="3" a="1"/>
  <c r="F694" i="3" a="1"/>
  <c r="F664" i="3" a="1"/>
  <c r="B516" i="3" a="1"/>
  <c r="A371" i="3" a="1"/>
  <c r="C727" i="3" a="1"/>
  <c r="B42" i="3" a="1"/>
  <c r="F494" i="3" a="1"/>
  <c r="F232" i="3" a="1"/>
  <c r="F2" i="3" a="1"/>
  <c r="F847" i="3" a="1"/>
  <c r="A868" i="3" a="1"/>
  <c r="C446" i="3" a="1"/>
  <c r="B159" i="3" a="1"/>
  <c r="E130" i="3" a="1"/>
  <c r="C461" i="3" a="1"/>
  <c r="C872" i="3" a="1"/>
  <c r="D739" i="3" a="1"/>
  <c r="B373" i="3" a="1"/>
  <c r="F1173" i="3" a="1"/>
  <c r="C958" i="3" a="1"/>
  <c r="F300" i="3" a="1"/>
  <c r="F143" i="3" a="1"/>
  <c r="A346" i="3" a="1"/>
  <c r="D1342" i="3" a="1"/>
  <c r="B1080" i="3" a="1"/>
  <c r="A688" i="3" a="1"/>
  <c r="B167" i="3" a="1"/>
  <c r="C826" i="3" a="1"/>
  <c r="E902" i="3" a="1"/>
  <c r="D967" i="3" a="1"/>
  <c r="B375" i="3" a="1"/>
  <c r="F1115" i="3" a="1"/>
  <c r="D675" i="3" a="1"/>
  <c r="D564" i="3" a="1"/>
  <c r="E1344" i="3" a="1"/>
  <c r="E1258" i="3" a="1"/>
  <c r="D970" i="3" a="1"/>
  <c r="F1146" i="3" a="1"/>
  <c r="C435" i="3" a="1"/>
  <c r="F801" i="3" a="1"/>
  <c r="A345" i="3" a="1"/>
  <c r="E414" i="3" a="1"/>
  <c r="B27" i="3" a="1"/>
  <c r="D884" i="3" a="1"/>
  <c r="B1301" i="3" a="1"/>
  <c r="A1095" i="3" a="1"/>
  <c r="C1348" i="3" a="1"/>
  <c r="D79" i="3" a="1"/>
  <c r="D246" i="3" a="1"/>
  <c r="E1145" i="3" a="1"/>
  <c r="A153" i="3" a="1"/>
  <c r="F155" i="3" a="1"/>
  <c r="F1034" i="3" a="1"/>
  <c r="E752" i="3" a="1"/>
  <c r="F711" i="3" a="1"/>
  <c r="F573" i="3" a="1"/>
  <c r="A652" i="3" a="1"/>
  <c r="C436" i="3" a="1"/>
  <c r="F530" i="3" a="1"/>
  <c r="D35" i="3" a="1"/>
  <c r="F100" i="3" a="1"/>
  <c r="B279" i="3" a="1"/>
  <c r="F466" i="3" a="1"/>
  <c r="B396" i="3" a="1"/>
  <c r="B1099" i="3" a="1"/>
  <c r="B606" i="3" a="1"/>
  <c r="A119" i="3" a="1"/>
  <c r="F15" i="3" a="1"/>
  <c r="A482" i="3" a="1"/>
  <c r="C660" i="3" a="1"/>
  <c r="F411" i="3" a="1"/>
  <c r="B392" i="3" a="1"/>
  <c r="C793" i="3" a="1"/>
  <c r="D299" i="3" a="1"/>
  <c r="F229" i="3" a="1"/>
  <c r="D596" i="3" a="1"/>
  <c r="E664" i="3" a="1"/>
  <c r="B752" i="3" a="1"/>
  <c r="D694" i="3" a="1"/>
  <c r="C618" i="3" a="1"/>
  <c r="E626" i="3" a="1"/>
  <c r="B414" i="3" a="1"/>
  <c r="E832" i="3" a="1"/>
  <c r="F1102" i="3" a="1"/>
  <c r="B1195" i="3" a="1"/>
  <c r="C126" i="3" a="1"/>
  <c r="E887" i="3" a="1"/>
  <c r="F191" i="3" a="1"/>
  <c r="F932" i="3" a="1"/>
  <c r="A618" i="3" a="1"/>
  <c r="F622" i="3" a="1"/>
  <c r="D633" i="3" a="1"/>
  <c r="A828" i="3" a="1"/>
  <c r="D677" i="3" a="1"/>
  <c r="B663" i="3" a="1"/>
  <c r="E621" i="3" a="1"/>
  <c r="A1161" i="3" a="1"/>
  <c r="C680" i="3" a="1"/>
  <c r="C377" i="3" a="1"/>
  <c r="E382" i="3" a="1"/>
  <c r="D1046" i="3" a="1"/>
  <c r="C98" i="3" a="1"/>
  <c r="A55" i="3" a="1"/>
  <c r="E574" i="3" a="1"/>
  <c r="A9" i="3" a="1"/>
  <c r="A475" i="3" a="1"/>
  <c r="C62" i="3" a="1"/>
  <c r="B756" i="3" a="1"/>
  <c r="D241" i="3" a="1"/>
  <c r="D431" i="3" a="1"/>
  <c r="D232" i="3" a="1"/>
  <c r="D1116" i="3" a="1"/>
  <c r="B335" i="3" a="1"/>
  <c r="F526" i="3" a="1"/>
  <c r="E4" i="3" a="1"/>
  <c r="F877" i="3" a="1"/>
  <c r="D43" i="3" a="1"/>
  <c r="B522" i="3" a="1"/>
  <c r="D577" i="3" a="1"/>
  <c r="D204" i="3" a="1"/>
  <c r="D617" i="3" a="1"/>
  <c r="E657" i="3" a="1"/>
  <c r="D83" i="3" a="1"/>
  <c r="C421" i="3" a="1"/>
  <c r="E1268" i="3" a="1"/>
  <c r="E406" i="3" a="1"/>
  <c r="E270" i="3" a="1"/>
  <c r="F190" i="3" a="1"/>
  <c r="A733" i="3" a="1"/>
  <c r="D571" i="3" a="1"/>
  <c r="F518" i="3" a="1"/>
  <c r="B274" i="3" a="1"/>
  <c r="C73" i="3" a="1"/>
  <c r="C493" i="3" a="1"/>
  <c r="B1124" i="3" a="1"/>
  <c r="F424" i="3" a="1"/>
  <c r="A472" i="3" a="1"/>
  <c r="B636" i="3" a="1"/>
  <c r="B188" i="3" a="1"/>
  <c r="B342" i="3" a="1"/>
  <c r="F374" i="3" a="1"/>
  <c r="B222" i="3" a="1"/>
  <c r="E511" i="3" a="1"/>
  <c r="C552" i="3" a="1"/>
  <c r="F947" i="3" a="1"/>
  <c r="E776" i="3" a="1"/>
  <c r="D665" i="3" a="1"/>
  <c r="D328" i="3" a="1"/>
  <c r="B804" i="3" a="1"/>
  <c r="D941" i="3" a="1"/>
  <c r="D81" i="3" a="1"/>
  <c r="A530" i="3" a="1"/>
  <c r="B632" i="3" a="1"/>
  <c r="A457" i="3" a="1"/>
  <c r="B938" i="3" a="1"/>
  <c r="D1142" i="3" a="1"/>
  <c r="F1029" i="3" a="1"/>
  <c r="B978" i="3" a="1"/>
  <c r="C408" i="3" a="1"/>
  <c r="A620" i="3" a="1"/>
  <c r="A332" i="3" a="1"/>
  <c r="A651" i="3" a="1"/>
  <c r="C238" i="3" a="1"/>
  <c r="A172" i="3" a="1"/>
  <c r="E303" i="3" a="1"/>
  <c r="B645" i="3" a="1"/>
  <c r="A130" i="3" a="1"/>
  <c r="F1184" i="3" a="1"/>
  <c r="D614" i="3" a="1"/>
  <c r="F636" i="3" a="1"/>
  <c r="F482" i="3" a="1"/>
  <c r="B853" i="3" a="1"/>
  <c r="E624" i="3" a="1"/>
  <c r="D1037" i="3" a="1"/>
  <c r="E588" i="3" a="1"/>
  <c r="E507" i="3" a="1"/>
  <c r="C164" i="3" a="1"/>
  <c r="C479" i="3" a="1"/>
  <c r="B556" i="3" a="1"/>
  <c r="C1080" i="3" a="1"/>
  <c r="B21" i="3" a="1"/>
  <c r="F327" i="3" a="1"/>
  <c r="A373" i="3" a="1"/>
  <c r="D1026" i="3" a="1"/>
  <c r="C7" i="3" a="1"/>
  <c r="F195" i="3" a="1"/>
  <c r="D191" i="3" a="1"/>
  <c r="F1224" i="3" a="1"/>
  <c r="A831" i="3" a="1"/>
  <c r="D565" i="3" a="1"/>
  <c r="B597" i="3" a="1"/>
  <c r="F433" i="3" a="1"/>
  <c r="B97" i="3" a="1"/>
  <c r="F527" i="3" a="1"/>
  <c r="F354" i="3" a="1"/>
  <c r="C169" i="3" a="1"/>
  <c r="D1149" i="3" a="1"/>
  <c r="F110" i="3" a="1"/>
  <c r="F724" i="3" a="1"/>
  <c r="D60" i="3" a="1"/>
  <c r="C1132" i="3" a="1"/>
  <c r="C136" i="3" a="1"/>
  <c r="E1004" i="3" a="1"/>
  <c r="B791" i="3" a="1"/>
  <c r="F514" i="3" a="1"/>
  <c r="F58" i="3" a="1"/>
  <c r="D887" i="3" a="1"/>
  <c r="C969" i="3" a="1"/>
  <c r="E760" i="3" a="1"/>
  <c r="B1042" i="3" a="1"/>
  <c r="D8" i="3" a="1"/>
  <c r="F235" i="3" a="1"/>
  <c r="F483" i="3" a="1"/>
  <c r="A1041" i="3" a="1"/>
  <c r="B1391" i="3" a="1"/>
  <c r="F1302" i="3" a="1"/>
  <c r="F688" i="3" a="1"/>
  <c r="C131" i="3" a="1"/>
  <c r="A731" i="3" a="1"/>
  <c r="F808" i="3" a="1"/>
  <c r="C1275" i="3" a="1"/>
  <c r="E173" i="3" a="1"/>
  <c r="B746" i="3" a="1"/>
  <c r="A366" i="3" a="1"/>
  <c r="A988" i="3" a="1"/>
  <c r="B635" i="3" a="1"/>
  <c r="D450" i="3" a="1"/>
  <c r="C429" i="3" a="1"/>
  <c r="B364" i="3" a="1"/>
  <c r="A683" i="3" a="1"/>
  <c r="A1284" i="3" a="1"/>
  <c r="C1118" i="3" a="1"/>
  <c r="F696" i="3" a="1"/>
  <c r="B628" i="3" a="1"/>
  <c r="E1296" i="3" a="1"/>
  <c r="F898" i="3" a="1"/>
  <c r="A358" i="3" a="1"/>
  <c r="E70" i="3" a="1"/>
  <c r="E974" i="3" a="1"/>
  <c r="F252" i="3" a="1"/>
  <c r="B454" i="3" a="1"/>
  <c r="B811" i="3" a="1"/>
  <c r="B788" i="3" a="1"/>
  <c r="A39" i="3" a="1"/>
  <c r="F161" i="3" a="1"/>
  <c r="E275" i="3" a="1"/>
  <c r="C1163" i="3" a="1"/>
  <c r="F693" i="3" a="1"/>
  <c r="B165" i="3" a="1"/>
  <c r="F942" i="3" a="1"/>
  <c r="E230" i="3" a="1"/>
  <c r="D90" i="3" a="1"/>
  <c r="C185" i="3" a="1"/>
  <c r="F375" i="3" a="1"/>
  <c r="B1193" i="3" a="1"/>
  <c r="C821" i="3" a="1"/>
  <c r="D1029" i="3" a="1"/>
  <c r="A244" i="3" a="1"/>
  <c r="F713" i="3" a="1"/>
  <c r="E326" i="3" a="1"/>
  <c r="C731" i="3" a="1"/>
  <c r="E1249" i="3" a="1"/>
  <c r="E762" i="3" a="1"/>
  <c r="C780" i="3" a="1"/>
  <c r="E1265" i="3" a="1"/>
  <c r="C241" i="3" a="1"/>
  <c r="C880" i="3" a="1"/>
  <c r="D330" i="3" a="1"/>
  <c r="B1115" i="3" a="1"/>
  <c r="D184" i="3" a="1"/>
  <c r="B1090" i="3" a="1"/>
  <c r="D501" i="3" a="1"/>
  <c r="B683" i="3" a="1"/>
  <c r="C1356" i="3" a="1"/>
  <c r="F1077" i="3" a="1"/>
  <c r="D566" i="3" a="1"/>
  <c r="F346" i="3" a="1"/>
  <c r="B1019" i="3" a="1"/>
  <c r="F306" i="3" a="1"/>
  <c r="A465" i="3" a="1"/>
  <c r="A235" i="3" a="1"/>
  <c r="D463" i="3" a="1"/>
  <c r="B933" i="3" a="1"/>
  <c r="F864" i="3" a="1"/>
  <c r="B83" i="3" a="1"/>
  <c r="E739" i="3" a="1"/>
  <c r="A671" i="3" a="1"/>
  <c r="F181" i="3" a="1"/>
  <c r="A151" i="3" a="1"/>
  <c r="B1380" i="3" a="1"/>
  <c r="F783" i="3" a="1"/>
  <c r="E1241" i="3" a="1"/>
  <c r="C586" i="3" a="1"/>
  <c r="F1353" i="3" a="1"/>
  <c r="B401" i="3" a="1"/>
  <c r="B852" i="3" a="1"/>
  <c r="B307" i="3" a="1"/>
  <c r="C47" i="3" a="1"/>
  <c r="D322" i="3" a="1"/>
  <c r="C667" i="3" a="1"/>
  <c r="C51" i="3" a="1"/>
  <c r="D442" i="3" a="1"/>
  <c r="C811" i="3" a="1"/>
  <c r="E685" i="3" a="1"/>
  <c r="B972" i="3" a="1"/>
  <c r="E1160" i="3" a="1"/>
  <c r="B13" i="3" a="1"/>
  <c r="A1005" i="3" a="1"/>
  <c r="D718" i="3" a="1"/>
  <c r="E3" i="3" a="1"/>
  <c r="B383" i="3" a="1"/>
  <c r="A1076" i="3" a="1"/>
  <c r="C146" i="3" a="1"/>
  <c r="B1138" i="3" a="1"/>
  <c r="D944" i="3" a="1"/>
  <c r="F710" i="3" a="1"/>
  <c r="F1318" i="3" a="1"/>
  <c r="E208" i="3" a="1"/>
  <c r="C983" i="3" a="1"/>
  <c r="E733" i="3" a="1"/>
  <c r="A1203" i="3" a="1"/>
  <c r="B1323" i="3" a="1"/>
  <c r="B1418" i="3" a="1"/>
  <c r="D526" i="3" a="1"/>
  <c r="F458" i="3" a="1"/>
  <c r="C152" i="3" a="1"/>
  <c r="C144" i="3" a="1"/>
  <c r="D494" i="3" a="1"/>
  <c r="F215" i="3" a="1"/>
  <c r="A997" i="3" a="1"/>
  <c r="A337" i="3" a="1"/>
  <c r="D608" i="3" a="1"/>
  <c r="A398" i="3" a="1"/>
  <c r="B1087" i="3" a="1"/>
  <c r="F245" i="3" a="1"/>
  <c r="D106" i="3" a="1"/>
  <c r="D1253" i="3" a="1"/>
  <c r="F1188" i="3" a="1"/>
  <c r="E87" i="3" a="1"/>
  <c r="D270" i="3" a="1"/>
  <c r="F541" i="3" a="1"/>
  <c r="B8" i="3" a="1"/>
  <c r="A546" i="3" a="1"/>
  <c r="D723" i="3" a="1"/>
  <c r="C510" i="3" a="1"/>
  <c r="C814" i="3" a="1"/>
  <c r="C3" i="3" a="1"/>
  <c r="F682" i="3" a="1"/>
  <c r="D826" i="3" a="1"/>
  <c r="D722" i="3" a="1"/>
  <c r="A94" i="3" a="1"/>
  <c r="D777" i="3" a="1"/>
  <c r="B273" i="3" a="1"/>
  <c r="B258" i="3" a="1"/>
  <c r="D774" i="3" a="1"/>
  <c r="B351" i="3" a="1"/>
  <c r="B151" i="3" a="1"/>
  <c r="C916" i="3" a="1"/>
  <c r="E206" i="3" a="1"/>
  <c r="A99" i="3" a="1"/>
  <c r="F566" i="3" a="1"/>
  <c r="B326" i="3" a="1"/>
  <c r="B649" i="3" a="1"/>
  <c r="B1296" i="3" a="1"/>
  <c r="C677" i="3" a="1"/>
  <c r="C397" i="3" a="1"/>
  <c r="B483" i="3" a="1"/>
  <c r="B536" i="3" a="1"/>
  <c r="B126" i="3" a="1"/>
  <c r="C1391" i="3" a="1"/>
  <c r="D1381" i="3" a="1"/>
  <c r="B1407" i="3" a="1"/>
  <c r="A547" i="3" a="1"/>
  <c r="F344" i="3" a="1"/>
  <c r="E551" i="3" a="1"/>
  <c r="C742" i="3" a="1"/>
  <c r="D196" i="3" a="1"/>
  <c r="B371" i="3" a="1"/>
  <c r="C523" i="3" a="1"/>
  <c r="B1294" i="3" a="1"/>
  <c r="C1103" i="3" a="1"/>
  <c r="A1198" i="3" a="1"/>
  <c r="B1262" i="3" a="1"/>
  <c r="E1409" i="3" a="1"/>
  <c r="B252" i="3" a="1"/>
  <c r="B940" i="3" a="1"/>
  <c r="C1220" i="3" a="1"/>
  <c r="D837" i="3" a="1"/>
  <c r="D620" i="3" a="1"/>
  <c r="B257" i="3" a="1"/>
  <c r="F231" i="3" a="1"/>
  <c r="D781" i="3" a="1"/>
  <c r="B956" i="3" a="1"/>
  <c r="B1367" i="3" a="1"/>
  <c r="E520" i="3" a="1"/>
  <c r="D674" i="3" a="1"/>
  <c r="C143" i="3" a="1"/>
  <c r="A553" i="3" a="1"/>
  <c r="F698" i="3" a="1"/>
  <c r="B948" i="3" a="1"/>
  <c r="F415" i="3" a="1"/>
  <c r="B129" i="3" a="1"/>
  <c r="F137" i="3" a="1"/>
  <c r="B639" i="3" a="1"/>
  <c r="A372" i="3" a="1"/>
  <c r="C453" i="3" a="1"/>
  <c r="F440" i="3" a="1"/>
  <c r="E359" i="3" a="1"/>
  <c r="D905" i="3" a="1"/>
  <c r="A1060" i="3" a="1"/>
  <c r="F492" i="3" a="1"/>
  <c r="D295" i="3" a="1"/>
  <c r="C541" i="3" a="1"/>
  <c r="A229" i="3" a="1"/>
  <c r="E654" i="3" a="1"/>
  <c r="D647" i="3" a="1"/>
  <c r="B131" i="3" a="1"/>
  <c r="F228" i="3" a="1"/>
  <c r="A309" i="3" a="1"/>
  <c r="B325" i="3" a="1"/>
  <c r="F692" i="3" a="1"/>
  <c r="D220" i="3" a="1"/>
  <c r="F705" i="3" a="1"/>
  <c r="F1274" i="3" a="1"/>
  <c r="B923" i="3" a="1"/>
  <c r="A462" i="3" a="1"/>
  <c r="F969" i="3" a="1"/>
  <c r="F1337" i="3" a="1"/>
  <c r="C1278" i="3" a="1"/>
  <c r="F955" i="3" a="1"/>
  <c r="D1190" i="3" a="1"/>
  <c r="E517" i="3" a="1"/>
  <c r="E509" i="3" a="1"/>
  <c r="F268" i="3" a="1"/>
  <c r="F1234" i="3" a="1"/>
  <c r="C66" i="3" a="1"/>
  <c r="A261" i="3" a="1"/>
  <c r="C629" i="3" a="1"/>
  <c r="C554" i="3" a="1"/>
  <c r="B1049" i="3" a="1"/>
  <c r="C1044" i="3" a="1"/>
  <c r="E926" i="3" a="1"/>
  <c r="F528" i="3" a="1"/>
  <c r="F185" i="3" a="1"/>
  <c r="D661" i="3" a="1"/>
  <c r="D403" i="3" a="1"/>
  <c r="A1223" i="3" a="1"/>
  <c r="B117" i="3" a="1"/>
  <c r="E1410" i="3" a="1"/>
  <c r="A1090" i="3" a="1"/>
  <c r="A262" i="3" a="1"/>
  <c r="F945" i="3" a="1"/>
  <c r="F1124" i="3" a="1"/>
  <c r="C1105" i="3" a="1"/>
  <c r="C1279" i="3" a="1"/>
  <c r="F1067" i="3" a="1"/>
  <c r="E805" i="3" a="1"/>
  <c r="E460" i="3" a="1"/>
  <c r="F598" i="3" a="1"/>
  <c r="F187" i="3" a="1"/>
  <c r="F509" i="3" a="1"/>
  <c r="C448" i="3" a="1"/>
  <c r="A1195" i="3" a="1"/>
  <c r="B113" i="3" a="1"/>
  <c r="B1286" i="3" a="1"/>
  <c r="F423" i="3" a="1"/>
  <c r="E299" i="3" a="1"/>
  <c r="B1036" i="3" a="1"/>
  <c r="A1105" i="3" a="1"/>
  <c r="C475" i="3" a="1"/>
  <c r="B668" i="3" a="1"/>
  <c r="C261" i="3" a="1"/>
  <c r="C692" i="3" a="1"/>
  <c r="B832" i="3" a="1"/>
  <c r="E785" i="3" a="1"/>
  <c r="A269" i="3" a="1"/>
  <c r="C1212" i="3" a="1"/>
  <c r="D921" i="3" a="1"/>
  <c r="B1403" i="3" a="1"/>
  <c r="E1289" i="3" a="1"/>
  <c r="A893" i="3" a="1"/>
  <c r="C567" i="3" a="1"/>
  <c r="B642" i="3" a="1"/>
  <c r="A1205" i="3" a="1"/>
  <c r="B1397" i="3" a="1"/>
  <c r="A574" i="3" a="1"/>
  <c r="E649" i="3" a="1"/>
  <c r="A1237" i="3" a="1"/>
  <c r="C1053" i="3" a="1"/>
  <c r="E948" i="3" a="1"/>
  <c r="C504" i="3" a="1"/>
  <c r="F106" i="3" a="1"/>
  <c r="E1382" i="3" a="1"/>
  <c r="E794" i="3" a="1"/>
  <c r="B347" i="3" a="1"/>
  <c r="F1001" i="3" a="1"/>
  <c r="B418" i="3" a="1"/>
  <c r="D1210" i="3" a="1"/>
  <c r="B1140" i="3" a="1"/>
  <c r="B1245" i="3" a="1"/>
  <c r="E986" i="3" a="1"/>
  <c r="F186" i="3" a="1"/>
  <c r="D1130" i="3" a="1"/>
  <c r="E941" i="3" a="1"/>
  <c r="E1163" i="3" a="1"/>
  <c r="F491" i="3" a="1"/>
  <c r="A852" i="3" a="1"/>
  <c r="B681" i="3" a="1"/>
  <c r="C526" i="3" a="1"/>
  <c r="F720" i="3" a="1"/>
  <c r="B640" i="3" a="1"/>
  <c r="F1203" i="3" a="1"/>
  <c r="E1075" i="3" a="1"/>
  <c r="D1163" i="3" a="1"/>
  <c r="E1367" i="3" a="1"/>
  <c r="B1218" i="3" a="1"/>
  <c r="B1149" i="3" a="1"/>
  <c r="C936" i="3" a="1"/>
  <c r="D1322" i="3" a="1"/>
  <c r="F897" i="3" a="1"/>
  <c r="C815" i="3" a="1"/>
  <c r="C546" i="3" a="1"/>
  <c r="D1425" i="3" a="1"/>
  <c r="E822" i="3" a="1"/>
  <c r="F289" i="3" a="1"/>
  <c r="F962" i="3" a="1"/>
  <c r="F798" i="3" a="1"/>
  <c r="D557" i="3" a="1"/>
  <c r="D1134" i="3" a="1"/>
  <c r="F739" i="3" a="1"/>
  <c r="F1149" i="3" a="1"/>
  <c r="E1425" i="3" a="1"/>
  <c r="E1023" i="3" a="1"/>
  <c r="B850" i="3" a="1"/>
  <c r="F965" i="3" a="1"/>
  <c r="D1325" i="3" a="1"/>
  <c r="E634" i="3" a="1"/>
  <c r="E241" i="3" a="1"/>
  <c r="A41" i="3" a="1"/>
  <c r="E701" i="3" a="1"/>
  <c r="C1271" i="3" a="1"/>
  <c r="A667" i="3" a="1"/>
  <c r="E695" i="3" a="1"/>
  <c r="F1109" i="3" a="1"/>
  <c r="A636" i="3" a="1"/>
  <c r="C1141" i="3" a="1"/>
  <c r="F996" i="3" a="1"/>
  <c r="A555" i="3" a="1"/>
  <c r="D688" i="3" a="1"/>
  <c r="E833" i="3" a="1"/>
  <c r="E958" i="3" a="1"/>
  <c r="E333" i="3" a="1"/>
  <c r="D527" i="3" a="1"/>
  <c r="E1046" i="3" a="1"/>
  <c r="D1154" i="3" a="1"/>
  <c r="B745" i="3" a="1"/>
  <c r="D344" i="3" a="1"/>
  <c r="D726" i="3" a="1"/>
  <c r="B456" i="3" a="1"/>
  <c r="A340" i="3" a="1"/>
  <c r="E176" i="3" a="1"/>
  <c r="C1223" i="3" a="1"/>
  <c r="B1291" i="3" a="1"/>
  <c r="E1188" i="3" a="1"/>
  <c r="B559" i="3" a="1"/>
  <c r="F254" i="3" a="1"/>
  <c r="D734" i="3" a="1"/>
  <c r="B37" i="3" a="1"/>
  <c r="F53" i="3" a="1"/>
  <c r="C284" i="3" a="1"/>
  <c r="B256" i="3" a="1"/>
  <c r="A1163" i="3" a="1"/>
  <c r="C1344" i="3" a="1"/>
  <c r="E363" i="3" a="1"/>
  <c r="E633" i="3" a="1"/>
  <c r="D991" i="3" a="1"/>
  <c r="F1186" i="3" a="1"/>
  <c r="F925" i="3" a="1"/>
  <c r="D492" i="3" a="1"/>
  <c r="D746" i="3" a="1"/>
  <c r="B693" i="3" a="1"/>
  <c r="B1410" i="3" a="1"/>
  <c r="A1334" i="3" a="1"/>
  <c r="E1222" i="3" a="1"/>
  <c r="A1298" i="3" a="1"/>
  <c r="A1097" i="3" a="1"/>
  <c r="C1093" i="3" a="1"/>
  <c r="B844" i="3" a="1"/>
  <c r="C1200" i="3" a="1"/>
  <c r="F1086" i="3" a="1"/>
  <c r="E1010" i="3" a="1"/>
  <c r="F666" i="3" a="1"/>
  <c r="C795" i="3" a="1"/>
  <c r="E30" i="3" a="1"/>
  <c r="D701" i="3" a="1"/>
  <c r="D313" i="3" a="1"/>
  <c r="B954" i="3" a="1"/>
  <c r="E1118" i="3" a="1"/>
  <c r="B662" i="3" a="1"/>
  <c r="A217" i="3" a="1"/>
  <c r="E453" i="3" a="1"/>
  <c r="B584" i="3" a="1"/>
  <c r="E1271" i="3" a="1"/>
  <c r="D744" i="3" a="1"/>
  <c r="C1375" i="3" a="1"/>
  <c r="E523" i="3" a="1"/>
  <c r="B1363" i="3" a="1"/>
  <c r="C785" i="3" a="1"/>
  <c r="E1418" i="3" a="1"/>
  <c r="B231" i="3" a="1"/>
  <c r="C919" i="3" a="1"/>
  <c r="A469" i="3" a="1"/>
  <c r="E693" i="3" a="1"/>
  <c r="F1354" i="3" a="1"/>
  <c r="D475" i="3" a="1"/>
  <c r="C89" i="3" a="1"/>
  <c r="C963" i="3" a="1"/>
  <c r="C1373" i="3" a="1"/>
  <c r="F437" i="3" a="1"/>
  <c r="C1077" i="3" a="1"/>
  <c r="E364" i="3" a="1"/>
  <c r="F519" i="3" a="1"/>
  <c r="C673" i="3" a="1"/>
  <c r="E362" i="3" a="1"/>
  <c r="C239" i="3" a="1"/>
  <c r="F119" i="3" a="1"/>
  <c r="C49" i="3" a="1"/>
  <c r="C1398" i="3" a="1"/>
  <c r="F316" i="3" a="1"/>
  <c r="F618" i="3" a="1"/>
  <c r="F226" i="3" a="1"/>
  <c r="D64" i="3" a="1"/>
  <c r="C665" i="3" a="1"/>
  <c r="A898" i="3" a="1"/>
  <c r="F213" i="3" a="1"/>
  <c r="B248" i="3" a="1"/>
  <c r="B713" i="3" a="1"/>
  <c r="A1301" i="3" a="1"/>
  <c r="F55" i="3" a="1"/>
  <c r="E90" i="3" a="1"/>
  <c r="A233" i="3" a="1"/>
  <c r="A90" i="3" a="1"/>
  <c r="B705" i="3" a="1"/>
  <c r="E475" i="3" a="1"/>
  <c r="D200" i="3" a="1"/>
  <c r="D111" i="3" a="1"/>
  <c r="D1004" i="3" a="1"/>
  <c r="E936" i="3" a="1"/>
  <c r="A232" i="3" a="1"/>
  <c r="E436" i="3" a="1"/>
  <c r="C1237" i="3" a="1"/>
  <c r="A328" i="3" a="1"/>
  <c r="E190" i="3" a="1"/>
  <c r="D1065" i="3" a="1"/>
  <c r="B144" i="3" a="1"/>
  <c r="E391" i="3" a="1"/>
  <c r="C30" i="3" a="1"/>
  <c r="B1100" i="3" a="1"/>
  <c r="B1142" i="3" a="1"/>
  <c r="D653" i="3" a="1"/>
  <c r="C356" i="3" a="1"/>
  <c r="F533" i="3" a="1"/>
  <c r="C925" i="3" a="1"/>
  <c r="F1390" i="3" a="1"/>
  <c r="D336" i="3" a="1"/>
  <c r="F670" i="3" a="1"/>
  <c r="F349" i="3" a="1"/>
  <c r="E1313" i="3" a="1"/>
  <c r="A33" i="3" a="1"/>
  <c r="B394" i="3" a="1"/>
  <c r="A586" i="3" a="1"/>
  <c r="B842" i="3" a="1"/>
  <c r="C881" i="3" a="1"/>
  <c r="F812" i="3" a="1"/>
  <c r="F1011" i="3" a="1"/>
  <c r="D1199" i="3" a="1"/>
  <c r="A811" i="3" a="1"/>
  <c r="C441" i="3" a="1"/>
  <c r="E773" i="3" a="1"/>
  <c r="E1084" i="3" a="1"/>
  <c r="E1016" i="3" a="1"/>
  <c r="C277" i="3" a="1"/>
  <c r="E830" i="3" a="1"/>
  <c r="A990" i="3" a="1"/>
  <c r="F522" i="3" a="1"/>
  <c r="D186" i="3" a="1"/>
  <c r="D1231" i="3" a="1"/>
  <c r="F479" i="3" a="1"/>
  <c r="A447" i="3" a="1"/>
  <c r="C1106" i="3" a="1"/>
  <c r="D53" i="3" a="1"/>
  <c r="B1179" i="3" a="1"/>
  <c r="B539" i="3" a="1"/>
  <c r="F608" i="3" a="1"/>
  <c r="C372" i="3" a="1"/>
  <c r="A225" i="3" a="1"/>
  <c r="C784" i="3" a="1"/>
  <c r="D585" i="3" a="1"/>
  <c r="A1229" i="3" a="1"/>
  <c r="D1042" i="3" a="1"/>
  <c r="C705" i="3" a="1"/>
  <c r="B838" i="3" a="1"/>
  <c r="A782" i="3" a="1"/>
  <c r="C979" i="3" a="1"/>
  <c r="F780" i="3" a="1"/>
  <c r="F607" i="3" a="1"/>
  <c r="F910" i="3" a="1"/>
  <c r="A1109" i="3" a="1"/>
  <c r="E998" i="3" a="1"/>
  <c r="F589" i="3" a="1"/>
  <c r="C789" i="3" a="1"/>
  <c r="F320" i="3" a="1"/>
  <c r="D582" i="3" a="1"/>
  <c r="A1231" i="3" a="1"/>
  <c r="C830" i="3" a="1"/>
  <c r="F1308" i="3" a="1"/>
  <c r="D1241" i="3" a="1"/>
  <c r="B46" i="3" a="1"/>
  <c r="E527" i="3" a="1"/>
  <c r="F619" i="3" a="1"/>
  <c r="D743" i="3" a="1"/>
  <c r="E561" i="3" a="1"/>
  <c r="B1374" i="3" a="1"/>
  <c r="E305" i="3" a="1"/>
  <c r="F1310" i="3" a="1"/>
  <c r="A764" i="3" a="1"/>
  <c r="E361" i="3" a="1"/>
  <c r="A743" i="3" a="1"/>
  <c r="A268" i="3" a="1"/>
  <c r="A1122" i="3" a="1"/>
  <c r="A834" i="3" a="1"/>
  <c r="E1161" i="3" a="1"/>
  <c r="D705" i="3" a="1"/>
  <c r="A402" i="3" a="1"/>
  <c r="A1396" i="3" a="1"/>
  <c r="F979" i="3" a="1"/>
  <c r="F1131" i="3" a="1"/>
  <c r="B169" i="3" a="1"/>
  <c r="D544" i="3" a="1"/>
  <c r="C555" i="3" a="1"/>
  <c r="D468" i="3" a="1"/>
  <c r="D667" i="3" a="1"/>
  <c r="F1295" i="3" a="1"/>
  <c r="F1405" i="3" a="1"/>
  <c r="C707" i="3" a="1"/>
  <c r="B571" i="3" a="1"/>
  <c r="E840" i="3" a="1"/>
  <c r="C565" i="3" a="1"/>
  <c r="D874" i="3" a="1"/>
  <c r="C470" i="3" a="1"/>
  <c r="F597" i="3" a="1"/>
  <c r="B1414" i="3" a="1"/>
  <c r="D1242" i="3" a="1"/>
  <c r="A648" i="3" a="1"/>
  <c r="B641" i="3" a="1"/>
  <c r="E847" i="3" a="1"/>
  <c r="D771" i="3" a="1"/>
  <c r="F400" i="3" a="1"/>
  <c r="D609" i="3" a="1"/>
  <c r="C1189" i="3" a="1"/>
  <c r="C313" i="3" a="1"/>
  <c r="D847" i="3" a="1"/>
  <c r="D900" i="3" a="1"/>
  <c r="D71" i="3" a="1"/>
  <c r="E403" i="3" a="1"/>
  <c r="E1405" i="3" a="1"/>
  <c r="A496" i="3" a="1"/>
  <c r="A759" i="3" a="1"/>
  <c r="B515" i="3" a="1"/>
  <c r="E1321" i="3" a="1"/>
  <c r="D1072" i="3" a="1"/>
  <c r="E1079" i="3" a="1"/>
  <c r="A255" i="3" a="1"/>
  <c r="F290" i="3" a="1"/>
  <c r="C659" i="3" a="1"/>
  <c r="F820" i="3" a="1"/>
  <c r="F846" i="3" a="1"/>
  <c r="C260" i="3" a="1"/>
  <c r="F936" i="3" a="1"/>
  <c r="E962" i="3" a="1"/>
  <c r="E1012" i="3" a="1"/>
  <c r="A1250" i="3" a="1"/>
  <c r="F1270" i="3" a="1"/>
  <c r="B1135" i="3" a="1"/>
  <c r="A1081" i="3" a="1"/>
  <c r="D285" i="3" a="1"/>
  <c r="C1067" i="3" a="1"/>
  <c r="B166" i="3" a="1"/>
  <c r="E653" i="3" a="1"/>
  <c r="D1372" i="3" a="1"/>
  <c r="D153" i="3" a="1"/>
  <c r="D699" i="3" a="1"/>
  <c r="C779" i="3" a="1"/>
  <c r="F991" i="3" a="1"/>
  <c r="F1169" i="3" a="1"/>
  <c r="B380" i="3" a="1"/>
  <c r="B467" i="3" a="1"/>
  <c r="D715" i="3" a="1"/>
  <c r="F814" i="3" a="1"/>
  <c r="A1315" i="3" a="1"/>
  <c r="D1378" i="3" a="1"/>
  <c r="F665" i="3" a="1"/>
  <c r="C888" i="3" a="1"/>
  <c r="F679" i="3" a="1"/>
  <c r="E862" i="3" a="1"/>
  <c r="F546" i="3" a="1"/>
  <c r="A1055" i="3" a="1"/>
  <c r="D350" i="3" a="1"/>
  <c r="B1047" i="3" a="1"/>
  <c r="D127" i="3" a="1"/>
  <c r="F162" i="3" a="1"/>
  <c r="E735" i="3" a="1"/>
  <c r="F736" i="3" a="1"/>
  <c r="F1139" i="3" a="1"/>
  <c r="F1281" i="3" a="1"/>
  <c r="A525" i="3" a="1"/>
  <c r="E848" i="3" a="1"/>
  <c r="D975" i="3" a="1"/>
  <c r="E332" i="3" a="1"/>
  <c r="B427" i="3" a="1"/>
  <c r="F202" i="3" a="1"/>
  <c r="E77" i="3" a="1"/>
  <c r="A234" i="3" a="1"/>
  <c r="E942" i="3" a="1"/>
  <c r="D490" i="3" a="1"/>
  <c r="E1281" i="3" a="1"/>
  <c r="D167" i="3" a="1"/>
  <c r="C278" i="3" a="1"/>
  <c r="D473" i="3" a="1"/>
  <c r="F551" i="3" a="1"/>
  <c r="E757" i="3" a="1"/>
  <c r="A812" i="3" a="1"/>
  <c r="B885" i="3" a="1"/>
  <c r="A357" i="3" a="1"/>
  <c r="E349" i="3" a="1"/>
  <c r="E386" i="3" a="1"/>
  <c r="F365" i="3" a="1"/>
  <c r="F451" i="3" a="1"/>
  <c r="A1365" i="3" a="1"/>
  <c r="F309" i="3" a="1"/>
  <c r="D1230" i="3" a="1"/>
  <c r="E1424" i="3" a="1"/>
  <c r="A737" i="3" a="1"/>
  <c r="B148" i="3" a="1"/>
  <c r="A1044" i="3" a="1"/>
  <c r="B287" i="3" a="1"/>
  <c r="C908" i="3" a="1"/>
  <c r="E1047" i="3" a="1"/>
  <c r="C471" i="3" a="1"/>
  <c r="D960" i="3" a="1"/>
  <c r="F723" i="3" a="1"/>
  <c r="C1147" i="3" a="1"/>
  <c r="E439" i="3" a="1"/>
  <c r="B1396" i="3" a="1"/>
  <c r="C1008" i="3" a="1"/>
  <c r="E617" i="3" a="1"/>
  <c r="B268" i="3" a="1"/>
  <c r="F1106" i="3" a="1"/>
  <c r="B465" i="3" a="1"/>
  <c r="D1277" i="3" a="1"/>
  <c r="E144" i="3" a="1"/>
  <c r="C300" i="3" a="1"/>
  <c r="A854" i="3" a="1"/>
  <c r="A1168" i="3" a="1"/>
  <c r="C168" i="3" a="1"/>
  <c r="D700" i="3" a="1"/>
  <c r="C901" i="3" a="1"/>
  <c r="A1000" i="3" a="1"/>
  <c r="F669" i="3" a="1"/>
  <c r="C113" i="3" a="1"/>
  <c r="E1221" i="3" a="1"/>
  <c r="F875" i="3" a="1"/>
  <c r="E1259" i="3" a="1"/>
  <c r="E727" i="3" a="1"/>
  <c r="C1318" i="3" a="1"/>
  <c r="F963" i="3" a="1"/>
  <c r="B329" i="3" a="1"/>
  <c r="B1400" i="3" a="1"/>
  <c r="B1201" i="3" a="1"/>
  <c r="A250" i="3" a="1"/>
  <c r="A740" i="3" a="1"/>
  <c r="B561" i="3" a="1"/>
  <c r="E1324" i="3" a="1"/>
  <c r="A1139" i="3" a="1"/>
  <c r="A994" i="3" a="1"/>
  <c r="C825" i="3" a="1"/>
  <c r="B1038" i="3" a="1"/>
  <c r="A178" i="3" a="1"/>
  <c r="C443" i="3" a="1"/>
  <c r="D672" i="3" a="1"/>
  <c r="B769" i="3" a="1"/>
  <c r="D531" i="3" a="1"/>
  <c r="E717" i="3" a="1"/>
  <c r="C1168" i="3" a="1"/>
  <c r="D976" i="3" a="1"/>
  <c r="C817" i="3" a="1"/>
  <c r="D47" i="3" a="1"/>
  <c r="C524" i="3" a="1"/>
  <c r="F94" i="3" a="1"/>
  <c r="E1332" i="3" a="1"/>
  <c r="C929" i="3" a="1"/>
  <c r="D569" i="3" a="1"/>
  <c r="D663" i="3" a="1"/>
  <c r="C611" i="3" a="1"/>
  <c r="E1245" i="3" a="1"/>
  <c r="A785" i="3" a="1"/>
  <c r="A1224" i="3" a="1"/>
  <c r="A206" i="3" a="1"/>
  <c r="C818" i="3" a="1"/>
  <c r="D307" i="3" a="1"/>
  <c r="A1069" i="3" a="1"/>
  <c r="E772" i="3" a="1"/>
  <c r="C368" i="3" a="1"/>
  <c r="F449" i="3" a="1"/>
  <c r="E591" i="3" a="1"/>
  <c r="A451" i="3" a="1"/>
  <c r="D318" i="3" a="1"/>
  <c r="E868" i="3" a="1"/>
  <c r="F821" i="3" a="1"/>
  <c r="C955" i="3" a="1"/>
  <c r="B1282" i="3" a="1"/>
  <c r="A795" i="3" a="1"/>
  <c r="A213" i="3" a="1"/>
  <c r="F1013" i="3" a="1"/>
  <c r="B1017" i="3" a="1"/>
  <c r="A147" i="3" a="1"/>
  <c r="A518" i="3" a="1"/>
  <c r="E1098" i="3" a="1"/>
  <c r="F166" i="3" a="1"/>
  <c r="C581" i="3" a="1"/>
  <c r="D676" i="3" a="1"/>
  <c r="C1416" i="3" a="1"/>
  <c r="E804" i="3" a="1"/>
  <c r="E484" i="3" a="1"/>
  <c r="D1387" i="3" a="1"/>
  <c r="F790" i="3" a="1"/>
  <c r="D1263" i="3" a="1"/>
  <c r="B19" i="3" a="1"/>
  <c r="E328" i="3" a="1"/>
  <c r="C392" i="3" a="1"/>
  <c r="C318" i="3" a="1"/>
  <c r="A601" i="3" a="1"/>
  <c r="C116" i="3" a="1"/>
  <c r="A577" i="3" a="1"/>
  <c r="E846" i="3" a="1"/>
  <c r="A1022" i="3" a="1"/>
  <c r="D613" i="3" a="1"/>
  <c r="A82" i="3" a="1"/>
  <c r="A661" i="3" a="1"/>
  <c r="E1000" i="3" a="1"/>
  <c r="F1415" i="3" a="1"/>
  <c r="A528" i="3" a="1"/>
  <c r="D451" i="3" a="1"/>
  <c r="D302" i="3" a="1"/>
  <c r="C686" i="3" a="1"/>
  <c r="E263" i="3" a="1"/>
  <c r="B138" i="3" a="1"/>
  <c r="A436" i="3" a="1"/>
  <c r="F452" i="3" a="1"/>
  <c r="A973" i="3" a="1"/>
  <c r="D1295" i="3" a="1"/>
  <c r="F1316" i="3" a="1"/>
  <c r="E1361" i="3" a="1"/>
  <c r="B579" i="3" a="1"/>
  <c r="D11" i="3" a="1"/>
  <c r="A1144" i="3" a="1"/>
  <c r="E1071" i="3" a="1"/>
  <c r="D891" i="3" a="1"/>
  <c r="D895" i="3" a="1"/>
  <c r="F1128" i="3" a="1"/>
  <c r="D349" i="3" a="1"/>
  <c r="A400" i="3" a="1"/>
  <c r="E451" i="3" a="1"/>
  <c r="A774" i="3" a="1"/>
  <c r="C511" i="3" a="1"/>
  <c r="C1376" i="3" a="1"/>
  <c r="B612" i="3" a="1"/>
  <c r="A794" i="3" a="1"/>
  <c r="B1169" i="3" a="1"/>
  <c r="F862" i="3" a="1"/>
  <c r="F663" i="3" a="1"/>
  <c r="E549" i="3" a="1"/>
  <c r="B629" i="3" a="1"/>
  <c r="C96" i="3" a="1"/>
  <c r="E188" i="3" a="1"/>
  <c r="B1003" i="3" a="1"/>
  <c r="A603" i="3" a="1"/>
  <c r="D731" i="3" a="1"/>
  <c r="E562" i="3" a="1"/>
  <c r="F1005" i="3" a="1"/>
  <c r="B588" i="3" a="1"/>
  <c r="C909" i="3" a="1"/>
  <c r="B191" i="3" a="1"/>
  <c r="B899" i="3" a="1"/>
  <c r="D1089" i="3" a="1"/>
  <c r="F295" i="3" a="1"/>
  <c r="E267" i="3" a="1"/>
  <c r="C228" i="3" a="1"/>
  <c r="D37" i="3" a="1"/>
  <c r="B192" i="3" a="1"/>
  <c r="D55" i="3" a="1"/>
  <c r="E852" i="3" a="1"/>
  <c r="C201" i="3" a="1"/>
  <c r="C132" i="3" a="1"/>
  <c r="A1061" i="3" a="1"/>
  <c r="E485" i="3" a="1"/>
  <c r="C198" i="3" a="1"/>
  <c r="D9" i="3" a="1"/>
  <c r="B626" i="3" a="1"/>
  <c r="D233" i="3" a="1"/>
  <c r="C242" i="3" a="1"/>
  <c r="C483" i="3" a="1"/>
  <c r="F450" i="3" a="1"/>
  <c r="E954" i="3" a="1"/>
  <c r="B1051" i="3" a="1"/>
  <c r="E491" i="3" a="1"/>
  <c r="C322" i="3" a="1"/>
  <c r="E834" i="3" a="1"/>
  <c r="E1076" i="3" a="1"/>
  <c r="C595" i="3" a="1"/>
  <c r="A633" i="3" a="1"/>
  <c r="B1137" i="3" a="1"/>
  <c r="D1418" i="3" a="1"/>
  <c r="A1148" i="3" a="1"/>
  <c r="B951" i="3" a="1"/>
  <c r="F732" i="3" a="1"/>
  <c r="E1375" i="3" a="1"/>
  <c r="E222" i="3" a="1"/>
  <c r="F1416" i="3" a="1"/>
  <c r="F291" i="3" a="1"/>
  <c r="D642" i="3" a="1"/>
  <c r="C43" i="3" a="1"/>
  <c r="C229" i="3" a="1"/>
  <c r="B1043" i="3" a="1"/>
  <c r="E842" i="3" a="1"/>
  <c r="C50" i="3" a="1"/>
  <c r="C1298" i="3" a="1"/>
  <c r="F839" i="3" a="1"/>
  <c r="C630" i="3" a="1"/>
  <c r="B317" i="3" a="1"/>
  <c r="F651" i="3" a="1"/>
  <c r="D1011" i="3" a="1"/>
  <c r="D1007" i="3" a="1"/>
  <c r="A452" i="3" a="1"/>
  <c r="A717" i="3" a="1"/>
  <c r="B590" i="3" a="1"/>
  <c r="C896" i="3" a="1"/>
  <c r="E24" i="3" a="1"/>
  <c r="C550" i="3" a="1"/>
  <c r="A7" i="3" a="1"/>
  <c r="F730" i="3" a="1"/>
  <c r="B189" i="3" a="1"/>
  <c r="E692" i="3" a="1"/>
  <c r="D181" i="3" a="1"/>
  <c r="A163" i="3" a="1"/>
  <c r="F1293" i="3" a="1"/>
  <c r="E1223" i="3" a="1"/>
  <c r="B1416" i="3" a="1"/>
  <c r="B901" i="3" a="1"/>
  <c r="D533" i="3" a="1"/>
  <c r="B1312" i="3" a="1"/>
  <c r="C635" i="3" a="1"/>
  <c r="C1270" i="3" a="1"/>
  <c r="D304" i="3" a="1"/>
  <c r="E31" i="3" a="1"/>
  <c r="E1383" i="3" a="1"/>
  <c r="C620" i="3" a="1"/>
  <c r="D319" i="3" a="1"/>
  <c r="F1320" i="3" a="1"/>
  <c r="F549" i="3" a="1"/>
  <c r="A630" i="3" a="1"/>
  <c r="D354" i="3" a="1"/>
  <c r="B1151" i="3" a="1"/>
  <c r="D149" i="3" a="1"/>
  <c r="C305" i="3" a="1"/>
  <c r="F343" i="3" a="1"/>
  <c r="D773" i="3" a="1"/>
  <c r="F1197" i="3" a="1"/>
  <c r="C1292" i="3" a="1"/>
  <c r="F1168" i="3" a="1"/>
  <c r="A1408" i="3" a="1"/>
  <c r="B774" i="3" a="1"/>
  <c r="E1365" i="3" a="1"/>
  <c r="B1370" i="3" a="1"/>
  <c r="F1409" i="3" a="1"/>
  <c r="D587" i="3" a="1"/>
  <c r="F763" i="3" a="1"/>
  <c r="B1342" i="3" a="1"/>
  <c r="E826" i="3" a="1"/>
  <c r="E903" i="3" a="1"/>
  <c r="B557" i="3" a="1"/>
  <c r="D19" i="3" a="1"/>
  <c r="F903" i="3" a="1"/>
  <c r="F246" i="3" a="1"/>
  <c r="D869" i="3" a="1"/>
  <c r="B125" i="3" a="1"/>
  <c r="F601" i="3" a="1"/>
  <c r="E899" i="3" a="1"/>
  <c r="F275" i="3" a="1"/>
  <c r="A1386" i="3" a="1"/>
  <c r="A768" i="3" a="1"/>
  <c r="C486" i="3" a="1"/>
  <c r="A872" i="3" a="1"/>
  <c r="A72" i="3" a="1"/>
  <c r="D1274" i="3" a="1"/>
  <c r="E107" i="3" a="1"/>
  <c r="B471" i="3" a="1"/>
  <c r="B241" i="3" a="1"/>
  <c r="A772" i="3" a="1"/>
  <c r="F761" i="3" a="1"/>
  <c r="C1366" i="3" a="1"/>
  <c r="C747" i="3" a="1"/>
  <c r="F1199" i="3" a="1"/>
  <c r="E1117" i="3" a="1"/>
  <c r="F446" i="3" a="1"/>
  <c r="E890" i="3" a="1"/>
  <c r="B421" i="3" a="1"/>
  <c r="D172" i="3" a="1"/>
  <c r="F633" i="3" a="1"/>
  <c r="D109" i="3" a="1"/>
  <c r="D632" i="3" a="1"/>
  <c r="E665" i="3" a="1"/>
  <c r="A154" i="3" a="1"/>
  <c r="A1215" i="3" a="1"/>
  <c r="C790" i="3" a="1"/>
  <c r="B193" i="3" a="1"/>
  <c r="A1291" i="3" a="1"/>
  <c r="A1308" i="3" a="1"/>
  <c r="A426" i="3" a="1"/>
  <c r="C824" i="3" a="1"/>
  <c r="D878" i="3" a="1"/>
  <c r="D1393" i="3" a="1"/>
  <c r="B152" i="3" a="1"/>
  <c r="E828" i="3" a="1"/>
  <c r="D1162" i="3" a="1"/>
  <c r="B652" i="3" a="1"/>
  <c r="C107" i="3" a="1"/>
  <c r="B1170" i="3" a="1"/>
  <c r="F726" i="3" a="1"/>
  <c r="E1196" i="3" a="1"/>
  <c r="A610" i="3" a="1"/>
  <c r="B757" i="3" a="1"/>
  <c r="F1078" i="3" a="1"/>
  <c r="C1169" i="3" a="1"/>
  <c r="A690" i="3" a="1"/>
  <c r="C1222" i="3" a="1"/>
  <c r="C438" i="3" a="1"/>
  <c r="B622" i="3" a="1"/>
  <c r="F1162" i="3" a="1"/>
  <c r="B795" i="3" a="1"/>
  <c r="C1117" i="3" a="1"/>
  <c r="F709" i="3" a="1"/>
  <c r="A1152" i="3" a="1"/>
  <c r="B330" i="3" a="1"/>
  <c r="C402" i="3" a="1"/>
  <c r="C440" i="3" a="1"/>
  <c r="D729" i="3" a="1"/>
  <c r="E1134" i="3" a="1"/>
  <c r="C1062" i="3" a="1"/>
  <c r="F768" i="3" a="1"/>
  <c r="B789" i="3" a="1"/>
  <c r="D85" i="3" a="1"/>
  <c r="A981" i="3" a="1"/>
  <c r="A1375" i="3" a="1"/>
  <c r="D1153" i="3" a="1"/>
  <c r="D832" i="3" a="1"/>
  <c r="A1216" i="3" a="1"/>
  <c r="F385" i="3" a="1"/>
  <c r="C741" i="3" a="1"/>
  <c r="F576" i="3" a="1"/>
  <c r="E930" i="3" a="1"/>
  <c r="B154" i="3" a="1"/>
  <c r="C327" i="3" a="1"/>
  <c r="B269" i="3" a="1"/>
  <c r="B962" i="3" a="1"/>
  <c r="A1140" i="3" a="1"/>
  <c r="B1340" i="3" a="1"/>
  <c r="F1413" i="3" a="1"/>
  <c r="F1232" i="3" a="1"/>
  <c r="A409" i="3" a="1"/>
  <c r="C178" i="3" a="1"/>
  <c r="F299" i="3" a="1"/>
  <c r="F586" i="3" a="1"/>
  <c r="A322" i="3" a="1"/>
  <c r="E987" i="3" a="1"/>
  <c r="F510" i="3" a="1"/>
  <c r="E184" i="3" a="1"/>
  <c r="E1021" i="3" a="1"/>
  <c r="F628" i="3" a="1"/>
  <c r="F1250" i="3" a="1"/>
  <c r="D870" i="3" a="1"/>
  <c r="E658" i="3" a="1"/>
  <c r="C489" i="3" a="1"/>
  <c r="F1423" i="3" a="1"/>
  <c r="D1117" i="3" a="1"/>
  <c r="F749" i="3" a="1"/>
  <c r="D1273" i="3" a="1"/>
  <c r="E703" i="3" a="1"/>
  <c r="E875" i="3" a="1"/>
  <c r="C645" i="3" a="1"/>
  <c r="E242" i="3" a="1"/>
  <c r="D1219" i="3" a="1"/>
  <c r="C938" i="3" a="1"/>
  <c r="C804" i="3" a="1"/>
  <c r="F950" i="3" a="1"/>
  <c r="E1266" i="3" a="1"/>
  <c r="C1236" i="3" a="1"/>
  <c r="C796" i="3" a="1"/>
  <c r="B754" i="3" a="1"/>
  <c r="D1138" i="3" a="1"/>
  <c r="B412" i="3" a="1"/>
  <c r="F1424" i="3" a="1"/>
  <c r="C534" i="3" a="1"/>
  <c r="D1302" i="3" a="1"/>
  <c r="F1223" i="3" a="1"/>
  <c r="C701" i="3" a="1"/>
  <c r="D93" i="3" a="1"/>
  <c r="C439" i="3" a="1"/>
  <c r="F1195" i="3" a="1"/>
  <c r="F874" i="3" a="1"/>
  <c r="A1007" i="3" a="1"/>
  <c r="C1066" i="3" a="1"/>
  <c r="F1210" i="3" a="1"/>
  <c r="F1212" i="3" a="1"/>
  <c r="F506" i="3" a="1"/>
  <c r="F1240" i="3" a="1"/>
  <c r="C548" i="3" a="1"/>
  <c r="C466" i="3" a="1"/>
  <c r="E1035" i="3" a="1"/>
  <c r="E1316" i="3" a="1"/>
  <c r="F1171" i="3" a="1"/>
  <c r="C874" i="3" a="1"/>
  <c r="B1379" i="3" a="1"/>
  <c r="F1248" i="3" a="1"/>
  <c r="C366" i="3" a="1"/>
  <c r="D629" i="3" a="1"/>
  <c r="C654" i="3" a="1"/>
  <c r="A415" i="3" a="1"/>
  <c r="D218" i="3" a="1"/>
  <c r="C798" i="3" a="1"/>
  <c r="A246" i="3" a="1"/>
  <c r="D949" i="3" a="1"/>
  <c r="D779" i="3" a="1"/>
  <c r="E253" i="3" a="1"/>
  <c r="B596" i="3" a="1"/>
  <c r="C75" i="3" a="1"/>
  <c r="D96" i="3" a="1"/>
  <c r="B64" i="3" a="1"/>
  <c r="A416" i="3" a="1"/>
  <c r="B983" i="3" a="1"/>
  <c r="A891" i="3" a="1"/>
  <c r="A339" i="3" a="1"/>
  <c r="B262" i="3" a="1"/>
  <c r="A769" i="3" a="1"/>
  <c r="B324" i="3" a="1"/>
  <c r="B1122" i="3" a="1"/>
  <c r="A222" i="3" a="1"/>
  <c r="F1025" i="3" a="1"/>
  <c r="B1425" i="3" a="1"/>
  <c r="D990" i="3" a="1"/>
  <c r="F1385" i="3" a="1"/>
  <c r="B737" i="3" a="1"/>
  <c r="A1172" i="3" a="1"/>
  <c r="A1098" i="3" a="1"/>
  <c r="E345" i="3" a="1"/>
  <c r="F1227" i="3" a="1"/>
  <c r="A724" i="3" a="1"/>
  <c r="C624" i="3" a="1"/>
  <c r="D732" i="3" a="1"/>
  <c r="C1263" i="3" a="1"/>
  <c r="C653" i="3" a="1"/>
  <c r="A352" i="3" a="1"/>
  <c r="B1341" i="3" a="1"/>
  <c r="A1104" i="3" a="1"/>
  <c r="A522" i="3" a="1"/>
  <c r="C1009" i="3" a="1"/>
  <c r="F743" i="3" a="1"/>
  <c r="E494" i="3" a="1"/>
  <c r="B1186" i="3" a="1"/>
  <c r="D909" i="3" a="1"/>
  <c r="A1165" i="3" a="1"/>
  <c r="D1196" i="3" a="1"/>
  <c r="D448" i="3" a="1"/>
  <c r="B1098" i="3" a="1"/>
  <c r="B939" i="3" a="1"/>
  <c r="A1174" i="3" a="1"/>
  <c r="A439" i="3" a="1"/>
  <c r="B1033" i="3" a="1"/>
  <c r="F934" i="3" a="1"/>
  <c r="D1174" i="3" a="1"/>
  <c r="B1246" i="3" a="1"/>
  <c r="B1358" i="3" a="1"/>
  <c r="A68" i="3" a="1"/>
  <c r="C912" i="3" a="1"/>
  <c r="B1053" i="3" a="1"/>
  <c r="F265" i="3" a="1"/>
  <c r="B911" i="3" a="1"/>
  <c r="C159" i="3" a="1"/>
  <c r="A1387" i="3" a="1"/>
  <c r="F838" i="3" a="1"/>
  <c r="D300" i="3" a="1"/>
  <c r="B174" i="3" a="1"/>
  <c r="C1068" i="3" a="1"/>
  <c r="D1113" i="3" a="1"/>
  <c r="E666" i="3" a="1"/>
  <c r="E1164" i="3" a="1"/>
  <c r="C879" i="3" a="1"/>
  <c r="D1275" i="3" a="1"/>
  <c r="B1320" i="3" a="1"/>
  <c r="D849" i="3" a="1"/>
  <c r="B477" i="3" a="1"/>
  <c r="F953" i="3" a="1"/>
  <c r="F677" i="3" a="1"/>
  <c r="A935" i="3" a="1"/>
  <c r="C671" i="3" a="1"/>
  <c r="C608" i="3" a="1"/>
  <c r="B679" i="3" a="1"/>
  <c r="C575" i="3" a="1"/>
  <c r="F1343" i="3" a="1"/>
  <c r="F1042" i="3" a="1"/>
  <c r="E1185" i="3" a="1"/>
  <c r="B1030" i="3" a="1"/>
  <c r="B937" i="3" a="1"/>
  <c r="E1293" i="3" a="1"/>
  <c r="F260" i="3" a="1"/>
  <c r="E723" i="3" a="1"/>
  <c r="D1417" i="3" a="1"/>
  <c r="A826" i="3" a="1"/>
  <c r="F873" i="3" a="1"/>
  <c r="C850" i="3" a="1"/>
  <c r="A1156" i="3" a="1"/>
  <c r="F10" i="3" a="1"/>
  <c r="F857" i="3" a="1"/>
  <c r="F1185" i="3" a="1"/>
  <c r="B928" i="3" a="1"/>
  <c r="F718" i="3" a="1"/>
  <c r="F282" i="3" a="1"/>
  <c r="F1140" i="3" a="1"/>
  <c r="C455" i="3" a="1"/>
  <c r="D1051" i="3" a="1"/>
  <c r="F359" i="3" a="1"/>
  <c r="B1241" i="3" a="1"/>
  <c r="B469" i="3" a="1"/>
  <c r="A557" i="3" a="1"/>
  <c r="D294" i="3" a="1"/>
  <c r="A1409" i="3" a="1"/>
  <c r="F868" i="3" a="1"/>
  <c r="B952" i="3" a="1"/>
  <c r="B363" i="3" a="1"/>
  <c r="E41" i="3" a="1"/>
  <c r="A1218" i="3" a="1"/>
  <c r="A1177" i="3" a="1"/>
  <c r="C982" i="3" a="1"/>
  <c r="A778" i="3" a="1"/>
  <c r="F567" i="3" a="1"/>
  <c r="A1368" i="3" a="1"/>
  <c r="E888" i="3" a="1"/>
  <c r="E1416" i="3" a="1"/>
  <c r="E1072" i="3" a="1"/>
  <c r="A587" i="3" a="1"/>
  <c r="A167" i="3" a="1"/>
  <c r="D1194" i="3" a="1"/>
  <c r="E894" i="3" a="1"/>
  <c r="E860" i="3" a="1"/>
  <c r="B520" i="3" a="1"/>
  <c r="C773" i="3" a="1"/>
  <c r="A554" i="3" a="1"/>
  <c r="F983" i="3" a="1"/>
  <c r="F954" i="3" a="1"/>
  <c r="D845" i="3" a="1"/>
  <c r="A543" i="3" a="1"/>
  <c r="F1098" i="3" a="1"/>
  <c r="B680" i="3" a="1"/>
  <c r="E699" i="3" a="1"/>
  <c r="B1178" i="3" a="1"/>
  <c r="F1372" i="3" a="1"/>
  <c r="C1330" i="3" a="1"/>
  <c r="B859" i="3" a="1"/>
  <c r="B1399" i="3" a="1"/>
  <c r="D666" i="3" a="1"/>
  <c r="F460" i="3" a="1"/>
  <c r="F626" i="3" a="1"/>
  <c r="A526" i="3" a="1"/>
  <c r="A617" i="3" a="1"/>
  <c r="E1157" i="3" a="1"/>
  <c r="B569" i="3" a="1"/>
  <c r="D727" i="3" a="1"/>
  <c r="E1001" i="3" a="1"/>
  <c r="B1007" i="3" a="1"/>
  <c r="C1274" i="3" a="1"/>
  <c r="F851" i="3" a="1"/>
  <c r="E1002" i="3" a="1"/>
  <c r="B56" i="3" a="1"/>
  <c r="C1158" i="3" a="1"/>
  <c r="A631" i="3" a="1"/>
  <c r="A361" i="3" a="1"/>
  <c r="C495" i="3" a="1"/>
  <c r="C774" i="3" a="1"/>
  <c r="F1027" i="3" a="1"/>
  <c r="C1078" i="3" a="1"/>
  <c r="E1290" i="3" a="1"/>
  <c r="A1153" i="3" a="1"/>
  <c r="C473" i="3" a="1"/>
  <c r="F960" i="3" a="1"/>
  <c r="E434" i="3" a="1"/>
  <c r="A594" i="3" a="1"/>
  <c r="D1254" i="3" a="1"/>
  <c r="E679" i="3" a="1"/>
  <c r="C571" i="3" a="1"/>
  <c r="D290" i="3" a="1"/>
  <c r="A1338" i="3" a="1"/>
  <c r="E1337" i="3" a="1"/>
  <c r="B1345" i="3" a="1"/>
  <c r="C583" i="3" a="1"/>
  <c r="E1228" i="3" a="1"/>
  <c r="D1240" i="3" a="1"/>
  <c r="C1014" i="3" a="1"/>
  <c r="A1228" i="3" a="1"/>
  <c r="B959" i="3" a="1"/>
  <c r="A1135" i="3" a="1"/>
  <c r="F1172" i="3" a="1"/>
  <c r="C1036" i="3" a="1"/>
  <c r="C1280" i="3" a="1"/>
  <c r="B1108" i="3" a="1"/>
  <c r="C444" i="3" a="1"/>
  <c r="B1212" i="3" a="1"/>
  <c r="E1286" i="3" a="1"/>
  <c r="B1300" i="3" a="1"/>
  <c r="B452" i="3" a="1"/>
  <c r="D143" i="3" a="1"/>
  <c r="F515" i="3" a="1"/>
  <c r="D748" i="3" a="1"/>
  <c r="A207" i="3" a="1"/>
  <c r="D1216" i="3" a="1"/>
  <c r="A364" i="3" a="1"/>
  <c r="C738" i="3" a="1"/>
  <c r="D1410" i="3" a="1"/>
  <c r="B776" i="3" a="1"/>
  <c r="E316" i="3" a="1"/>
  <c r="D981" i="3" a="1"/>
  <c r="F668" i="3" a="1"/>
  <c r="E602" i="3" a="1"/>
  <c r="C1266" i="3" a="1"/>
  <c r="C1388" i="3" a="1"/>
  <c r="A709" i="3" a="1"/>
  <c r="C1415" i="3" a="1"/>
  <c r="D802" i="3" a="1"/>
  <c r="B764" i="3" a="1"/>
  <c r="B1226" i="3" a="1"/>
  <c r="F154" i="3" a="1"/>
  <c r="B854" i="3" a="1"/>
  <c r="A1400" i="3" a="1"/>
  <c r="D856" i="3" a="1"/>
  <c r="A463" i="3" a="1"/>
  <c r="C875" i="3" a="1"/>
  <c r="C704" i="3" a="1"/>
  <c r="A1023" i="3" a="1"/>
  <c r="D1214" i="3" a="1"/>
  <c r="C508" i="3" a="1"/>
  <c r="C696" i="3" a="1"/>
  <c r="B1034" i="3" a="1"/>
  <c r="E80" i="3" a="1"/>
  <c r="B1165" i="3" a="1"/>
  <c r="C917" i="3" a="1"/>
  <c r="E886" i="3" a="1"/>
  <c r="C1310" i="3" a="1"/>
  <c r="B526" i="3" a="1"/>
  <c r="A1108" i="3" a="1"/>
  <c r="A909" i="3" a="1"/>
  <c r="B1069" i="3" a="1"/>
  <c r="C315" i="3" a="1"/>
  <c r="A360" i="3" a="1"/>
  <c r="F1065" i="3" a="1"/>
  <c r="D1388" i="3" a="1"/>
  <c r="E1074" i="3" a="1"/>
  <c r="B907" i="3" a="1"/>
  <c r="F1119" i="3" a="1"/>
  <c r="D893" i="3" a="1"/>
  <c r="C1414" i="3" a="1"/>
  <c r="F748" i="3" a="1"/>
  <c r="E1251" i="3" a="1"/>
  <c r="F523" i="3" a="1"/>
  <c r="B1408" i="3" a="1"/>
  <c r="A950" i="3" a="1"/>
  <c r="B1343" i="3" a="1"/>
  <c r="A703" i="3" a="1"/>
  <c r="D480" i="3" a="1"/>
  <c r="C934" i="3" a="1"/>
  <c r="F247" i="3" a="1"/>
  <c r="C1392" i="3" a="1"/>
  <c r="B949" i="3" a="1"/>
  <c r="C1258" i="3" a="1"/>
  <c r="A720" i="3" a="1"/>
  <c r="D163" i="3" a="1"/>
  <c r="F999" i="3" a="1"/>
  <c r="F1093" i="3" a="1"/>
  <c r="F1292" i="3" a="1"/>
  <c r="D638" i="3" a="1"/>
  <c r="C1108" i="3" a="1"/>
  <c r="E350" i="3" a="1"/>
  <c r="B578" i="3" a="1"/>
  <c r="E766" i="3" a="1"/>
  <c r="B1040" i="3" a="1"/>
  <c r="A1003" i="3" a="1"/>
  <c r="B1314" i="3" a="1"/>
  <c r="D1152" i="3" a="1"/>
  <c r="A763" i="3" a="1"/>
  <c r="D1168" i="3" a="1"/>
  <c r="C951" i="3" a="1"/>
  <c r="E918" i="3" a="1"/>
  <c r="D409" i="3" a="1"/>
  <c r="C1399" i="3" a="1"/>
  <c r="F817" i="3" a="1"/>
  <c r="D1091" i="3" a="1"/>
  <c r="C679" i="3" a="1"/>
  <c r="F1394" i="3" a="1"/>
  <c r="B926" i="3" a="1"/>
  <c r="C910" i="3" a="1"/>
  <c r="C695" i="3" a="1"/>
  <c r="E721" i="3" a="1"/>
  <c r="E966" i="3" a="1"/>
  <c r="B1259" i="3" a="1"/>
  <c r="F1145" i="3" a="1"/>
  <c r="D434" i="3" a="1"/>
  <c r="D829" i="3" a="1"/>
  <c r="E1387" i="3" a="1"/>
  <c r="D1052" i="3" a="1"/>
  <c r="B1361" i="3" a="1"/>
  <c r="F1021" i="3" a="1"/>
  <c r="B1073" i="3" a="1"/>
  <c r="D753" i="3" a="1"/>
  <c r="F1048" i="3" a="1"/>
  <c r="C1015" i="3" a="1"/>
  <c r="F1419" i="3" a="1"/>
  <c r="B1234" i="3" a="1"/>
  <c r="E719" i="3" a="1"/>
  <c r="D751" i="3" a="1"/>
  <c r="E607" i="3" a="1"/>
  <c r="A949" i="3" a="1"/>
  <c r="C564" i="3" a="1"/>
  <c r="A1425" i="3" a="1"/>
  <c r="A1197" i="3" a="1"/>
  <c r="F797" i="3" a="1"/>
  <c r="E1041" i="3" a="1"/>
  <c r="B1076" i="3" a="1"/>
  <c r="F1258" i="3" a="1"/>
  <c r="D736" i="3" a="1"/>
  <c r="F779" i="3" a="1"/>
  <c r="A613" i="3" a="1"/>
  <c r="C1094" i="3" a="1"/>
  <c r="A1103" i="3" a="1"/>
  <c r="C587" i="3" a="1"/>
  <c r="E1320" i="3" a="1"/>
  <c r="B1161" i="3" a="1"/>
  <c r="F685" i="3" a="1"/>
  <c r="D1358" i="3" a="1"/>
  <c r="E320" i="3" a="1"/>
  <c r="A1388" i="3" a="1"/>
  <c r="E1243" i="3" a="1"/>
  <c r="A664" i="3" a="1"/>
  <c r="E1154" i="3" a="1"/>
  <c r="E589" i="3" a="1"/>
  <c r="D656" i="3" a="1"/>
  <c r="E660" i="3" a="1"/>
  <c r="E1116" i="3" a="1"/>
  <c r="D1416" i="3" a="1"/>
  <c r="F719" i="3" a="1"/>
  <c r="E384" i="3" a="1"/>
  <c r="F580" i="3" a="1"/>
  <c r="A982" i="3" a="1"/>
  <c r="B1375" i="3" a="1"/>
  <c r="F1052" i="3" a="1"/>
  <c r="E1244" i="3" a="1"/>
  <c r="E1325" i="3" a="1"/>
  <c r="C726" i="3" a="1"/>
  <c r="B1261" i="3" a="1"/>
  <c r="E952" i="3" a="1"/>
  <c r="B1298" i="3" a="1"/>
  <c r="F700" i="3" a="1"/>
  <c r="E1115" i="3" a="1"/>
  <c r="F1296" i="3" a="1"/>
  <c r="B1280" i="3" a="1"/>
  <c r="E1396" i="3" a="1"/>
  <c r="E500" i="3" a="1"/>
  <c r="F1015" i="3" a="1"/>
  <c r="C485" i="3" a="1"/>
  <c r="E863" i="3" a="1"/>
  <c r="D1183" i="3" a="1"/>
  <c r="F1138" i="3" a="1"/>
  <c r="C739" i="3" a="1"/>
  <c r="C1213" i="3" a="1"/>
  <c r="B742" i="3" a="1"/>
  <c r="A799" i="3" a="1"/>
  <c r="D607" i="3" a="1"/>
  <c r="D853" i="3" a="1"/>
  <c r="F236" i="3" a="1"/>
  <c r="E597" i="3" a="1"/>
  <c r="B779" i="3" a="1"/>
  <c r="B1060" i="3" a="1"/>
  <c r="B1101" i="3" a="1"/>
  <c r="F1331" i="3" a="1"/>
  <c r="B1277" i="3" a="1"/>
  <c r="B898" i="3" a="1"/>
  <c r="F1214" i="3" a="1"/>
  <c r="D813" i="3" a="1"/>
  <c r="E203" i="3" a="1"/>
  <c r="F1321" i="3" a="1"/>
  <c r="E372" i="3" a="1"/>
  <c r="F574" i="3" a="1"/>
  <c r="D1040" i="3" a="1"/>
  <c r="C336" i="3" a="1"/>
  <c r="C700" i="3" a="1"/>
  <c r="A686" i="3" a="1"/>
  <c r="B1249" i="3" a="1"/>
  <c r="B116" i="3" a="1"/>
  <c r="B1204" i="3" a="1"/>
  <c r="D484" i="3" a="1"/>
  <c r="B228" i="3" a="1"/>
  <c r="C845" i="3" a="1"/>
  <c r="D1063" i="3" a="1"/>
  <c r="C1143" i="3" a="1"/>
  <c r="D1060" i="3" a="1"/>
  <c r="E1162" i="3" a="1"/>
  <c r="F1395" i="3" a="1"/>
  <c r="C1100" i="3" a="1"/>
  <c r="D630" i="3" a="1"/>
  <c r="F1379" i="3" a="1"/>
  <c r="D1028" i="3" a="1"/>
  <c r="C272" i="3" a="1"/>
  <c r="F946" i="3" a="1"/>
  <c r="C224" i="3" a="1"/>
  <c r="E1215" i="3" a="1"/>
  <c r="F1090" i="3" a="1"/>
  <c r="D1326" i="3" a="1"/>
  <c r="D1031" i="3" a="1"/>
  <c r="B428" i="3" a="1"/>
  <c r="B1041" i="3" a="1"/>
  <c r="A1014" i="3" a="1"/>
  <c r="D968" i="3" a="1"/>
  <c r="E1253" i="3" a="1"/>
  <c r="D1036" i="3" a="1"/>
  <c r="A659" i="3" a="1"/>
  <c r="B510" i="3" a="1"/>
  <c r="A1209" i="3" a="1"/>
  <c r="D775" i="3" a="1"/>
  <c r="F57" i="3" a="1"/>
  <c r="A606" i="3" a="1"/>
  <c r="D1024" i="3" a="1"/>
  <c r="A1344" i="3" a="1"/>
  <c r="D359" i="3" a="1"/>
  <c r="F241" i="3" a="1"/>
  <c r="C763" i="3" a="1"/>
  <c r="D782" i="3" a="1"/>
  <c r="B1184" i="3" a="1"/>
  <c r="E390" i="3" a="1"/>
  <c r="F111" i="3" a="1"/>
  <c r="C314" i="3" a="1"/>
  <c r="B1158" i="3" a="1"/>
  <c r="B1293" i="3" a="1"/>
  <c r="A798" i="3" a="1"/>
  <c r="B1130" i="3" a="1"/>
  <c r="F1256" i="3" a="1"/>
  <c r="D398" i="3" a="1"/>
  <c r="D926" i="3" a="1"/>
  <c r="C434" i="3" a="1"/>
  <c r="F818" i="3" a="1"/>
  <c r="E725" i="3" a="1"/>
  <c r="B202" i="3" a="1"/>
  <c r="E255" i="3" a="1"/>
  <c r="D165" i="3" a="1"/>
  <c r="D134" i="3" a="1"/>
  <c r="A615" i="3" a="1"/>
  <c r="C952" i="3" a="1"/>
  <c r="D1353" i="3" a="1"/>
  <c r="F582" i="3" a="1"/>
  <c r="E599" i="3" a="1"/>
  <c r="F1422" i="3" a="1"/>
  <c r="E1318" i="3" a="1"/>
  <c r="F326" i="3" a="1"/>
  <c r="F1152" i="3" a="1"/>
  <c r="D548" i="3" a="1"/>
  <c r="F973" i="3" a="1"/>
  <c r="E751" i="3" a="1"/>
  <c r="C458" i="3" a="1"/>
  <c r="E1294" i="3" a="1"/>
  <c r="A273" i="3" a="1"/>
  <c r="A945" i="3" a="1"/>
  <c r="D1238" i="3" a="1"/>
  <c r="E1089" i="3" a="1"/>
  <c r="A1120" i="3" a="1"/>
  <c r="A986" i="3" a="1"/>
  <c r="A1024" i="3" a="1"/>
  <c r="A500" i="3" a="1"/>
  <c r="D799" i="3" a="1"/>
  <c r="F330" i="3" a="1"/>
  <c r="E1419" i="3" a="1"/>
  <c r="B473" i="3" a="1"/>
  <c r="B1214" i="3" a="1"/>
  <c r="F281" i="3" a="1"/>
  <c r="D697" i="3" a="1"/>
  <c r="C1129" i="3" a="1"/>
  <c r="F163" i="3" a="1"/>
  <c r="B843" i="3" a="1"/>
  <c r="D576" i="3" a="1"/>
  <c r="B566" i="3" a="1"/>
  <c r="B1023" i="3" a="1"/>
  <c r="D353" i="3" a="1"/>
  <c r="F890" i="3" a="1"/>
  <c r="C1386" i="3" a="1"/>
  <c r="D410" i="3" a="1"/>
  <c r="E1229" i="3" a="1"/>
  <c r="A1311" i="3" a="1"/>
  <c r="D998" i="3" a="1"/>
  <c r="C1056" i="3" a="1"/>
  <c r="B778" i="3" a="1"/>
  <c r="E705" i="3" a="1"/>
  <c r="D786" i="3" a="1"/>
  <c r="C320" i="3" a="1"/>
  <c r="B340" i="3" a="1"/>
  <c r="A934" i="3" a="1"/>
  <c r="E470" i="3" a="1"/>
  <c r="A1191" i="3" a="1"/>
  <c r="B766" i="3" a="1"/>
  <c r="F781" i="3" a="1"/>
  <c r="A589" i="3" a="1"/>
  <c r="F1103" i="3" a="1"/>
  <c r="C899" i="3" a="1"/>
  <c r="B810" i="3" a="1"/>
  <c r="A693" i="3" a="1"/>
  <c r="B390" i="3" a="1"/>
  <c r="E1322" i="3" a="1"/>
  <c r="E581" i="3" a="1"/>
  <c r="C221" i="3" a="1"/>
  <c r="B391" i="3" a="1"/>
  <c r="C1101" i="3" a="1"/>
  <c r="F804" i="3" a="1"/>
  <c r="F613" i="3" a="1"/>
  <c r="C915" i="3" a="1"/>
  <c r="A1349" i="3" a="1"/>
  <c r="C400" i="3" a="1"/>
  <c r="C530" i="3" a="1"/>
  <c r="B506" i="3" a="1"/>
  <c r="B973" i="3" a="1"/>
  <c r="D778" i="3" a="1"/>
  <c r="F842" i="3" a="1"/>
  <c r="B540" i="3" a="1"/>
  <c r="A382" i="3" a="1"/>
  <c r="D384" i="3" a="1"/>
  <c r="F802" i="3" a="1"/>
  <c r="D899" i="3" a="1"/>
  <c r="D803" i="3" a="1"/>
  <c r="E880" i="3" a="1"/>
  <c r="D1082" i="3" a="1"/>
  <c r="B1276" i="3" a="1"/>
  <c r="C1294" i="3" a="1"/>
  <c r="A517" i="3" a="1"/>
  <c r="A1042" i="3" a="1"/>
  <c r="B199" i="3" a="1"/>
  <c r="E1056" i="3" a="1"/>
  <c r="B313" i="3" a="1"/>
  <c r="B1215" i="3" a="1"/>
  <c r="A726" i="3" a="1"/>
  <c r="A430" i="3" a="1"/>
  <c r="B1420" i="3" a="1"/>
  <c r="F642" i="3" a="1"/>
  <c r="F1181" i="3" a="1"/>
  <c r="F418" i="3" a="1"/>
  <c r="E1297" i="3" a="1"/>
  <c r="A650" i="3" a="1"/>
  <c r="B689" i="3" a="1"/>
  <c r="F322" i="3" a="1"/>
  <c r="E154" i="3" a="1"/>
  <c r="A270" i="3" a="1"/>
  <c r="F788" i="3" a="1"/>
  <c r="B828" i="3" a="1"/>
  <c r="E854" i="3" a="1"/>
  <c r="A128" i="3" a="1"/>
  <c r="F1164" i="3" a="1"/>
  <c r="A412" i="3" a="1"/>
  <c r="F1411" i="3" a="1"/>
  <c r="F1412" i="3" a="1"/>
  <c r="D493" i="3" a="1"/>
  <c r="A191" i="3" a="1"/>
  <c r="C722" i="3" a="1"/>
  <c r="C188" i="3" a="1"/>
  <c r="B1239" i="3" a="1"/>
  <c r="D595" i="3" a="1"/>
  <c r="E1306" i="3" a="1"/>
  <c r="C385" i="3" a="1"/>
  <c r="E710" i="3" a="1"/>
  <c r="F538" i="3" a="1"/>
  <c r="C890" i="3" a="1"/>
  <c r="A470" i="3" a="1"/>
  <c r="D1158" i="3" a="1"/>
  <c r="A435" i="3" a="1"/>
  <c r="E891" i="3" a="1"/>
  <c r="F426" i="3" a="1"/>
  <c r="C1383" i="3" a="1"/>
  <c r="C1311" i="3" a="1"/>
  <c r="C719" i="3" a="1"/>
  <c r="E430" i="3" a="1"/>
  <c r="B529" i="3" a="1"/>
  <c r="D4" i="3" a="1"/>
  <c r="B204" i="3" a="1"/>
  <c r="B1001" i="3" a="1"/>
  <c r="A1064" i="3" a="1"/>
  <c r="E1250" i="3" a="1"/>
  <c r="F627" i="3" a="1"/>
  <c r="E784" i="3" a="1"/>
  <c r="F757" i="3" a="1"/>
  <c r="B921" i="3" a="1"/>
  <c r="D1281" i="3" a="1"/>
  <c r="F1175" i="3" a="1"/>
  <c r="D768" i="3" a="1"/>
  <c r="B1233" i="3" a="1"/>
  <c r="C640" i="3" a="1"/>
  <c r="E503" i="3" a="1"/>
  <c r="B910" i="3" a="1"/>
  <c r="B869" i="3" a="1"/>
  <c r="F753" i="3" a="1"/>
  <c r="E646" i="3" a="1"/>
  <c r="F1136" i="3" a="1"/>
  <c r="E1054" i="3" a="1"/>
  <c r="D67" i="3" a="1"/>
  <c r="F1356" i="3" a="1"/>
  <c r="A282" i="3" a="1"/>
  <c r="D1002" i="3" a="1"/>
  <c r="E972" i="3" a="1"/>
  <c r="B1026" i="3" a="1"/>
  <c r="F1104" i="3" a="1"/>
  <c r="F1289" i="3" a="1"/>
  <c r="E1014" i="3" a="1"/>
  <c r="E592" i="3" a="1"/>
  <c r="F1363" i="3" a="1"/>
  <c r="E1329" i="3" a="1"/>
  <c r="E468" i="3" a="1"/>
  <c r="E1369" i="3" a="1"/>
  <c r="B785" i="3" a="1"/>
  <c r="C477" i="3" a="1"/>
  <c r="A1204" i="3" a="1"/>
  <c r="A1085" i="3" a="1"/>
  <c r="F837" i="3" a="1"/>
  <c r="B229" i="3" a="1"/>
  <c r="E631" i="3" a="1"/>
  <c r="A853" i="3" a="1"/>
  <c r="D942" i="3" a="1"/>
  <c r="C1379" i="3" a="1"/>
  <c r="E377" i="3" a="1"/>
  <c r="F674" i="3" a="1"/>
  <c r="E1285" i="3" a="1"/>
  <c r="A730" i="3" a="1"/>
  <c r="A857" i="3" a="1"/>
  <c r="C1260" i="3" a="1"/>
  <c r="A992" i="3" a="1"/>
  <c r="B1278" i="3" a="1"/>
  <c r="B548" i="3" a="1"/>
  <c r="D298" i="3" a="1"/>
  <c r="A192" i="3" a="1"/>
  <c r="F1376" i="3" a="1"/>
  <c r="A803" i="3" a="1"/>
  <c r="A829" i="3" a="1"/>
  <c r="C299" i="3" a="1"/>
  <c r="B960" i="3" a="1"/>
  <c r="A643" i="3" a="1"/>
  <c r="D601" i="3" a="1"/>
  <c r="A310" i="3" a="1"/>
  <c r="D1069" i="3" a="1"/>
  <c r="D855" i="3" a="1"/>
  <c r="B1243" i="3" a="1"/>
  <c r="D168" i="3" a="1"/>
  <c r="D581" i="3" a="1"/>
  <c r="E458" i="3" a="1"/>
  <c r="E806" i="3" a="1"/>
  <c r="F829" i="3" a="1"/>
  <c r="D1239" i="3" a="1"/>
  <c r="F645" i="3" a="1"/>
  <c r="C1188" i="3" a="1"/>
  <c r="E1159" i="3" a="1"/>
  <c r="C1331" i="3" a="1"/>
  <c r="A325" i="3" a="1"/>
  <c r="C293" i="3" a="1"/>
  <c r="E469" i="3" a="1"/>
  <c r="D1016" i="3" a="1"/>
  <c r="D425" i="3" a="1"/>
  <c r="D192" i="3" a="1"/>
  <c r="C561" i="3" a="1"/>
  <c r="E698" i="3" a="1"/>
  <c r="D707" i="3" a="1"/>
  <c r="B767" i="3" a="1"/>
  <c r="D686" i="3" a="1"/>
  <c r="F786" i="3" a="1"/>
  <c r="C974" i="3" a="1"/>
  <c r="E472" i="3" a="1"/>
  <c r="E98" i="3" a="1"/>
  <c r="F858" i="3" a="1"/>
  <c r="A1193" i="3" a="1"/>
  <c r="E1345" i="3" a="1"/>
  <c r="D1409" i="3" a="1"/>
  <c r="E487" i="3" a="1"/>
  <c r="D1411" i="3" a="1"/>
  <c r="B1235" i="3" a="1"/>
  <c r="F716" i="3" a="1"/>
  <c r="F989" i="3" a="1"/>
  <c r="A1412" i="3" a="1"/>
  <c r="E375" i="3" a="1"/>
  <c r="A1051" i="3" a="1"/>
  <c r="B565" i="3" a="1"/>
  <c r="B1086" i="3" a="1"/>
  <c r="D1265" i="3" a="1"/>
  <c r="D1414" i="3" a="1"/>
  <c r="D1059" i="3" a="1"/>
  <c r="D962" i="3" a="1"/>
  <c r="E1195" i="3" a="1"/>
  <c r="B747" i="3" a="1"/>
  <c r="C1385" i="3" a="1"/>
  <c r="B322" i="3" a="1"/>
  <c r="E758" i="3" a="1"/>
  <c r="F79" i="3" a="1"/>
  <c r="D622" i="3" a="1"/>
  <c r="C1367" i="3" a="1"/>
  <c r="D1370" i="3" a="1"/>
  <c r="A865" i="3" a="1"/>
  <c r="C853" i="3" a="1"/>
  <c r="E1341" i="3" a="1"/>
  <c r="F1064" i="3" a="1"/>
  <c r="A786" i="3" a="1"/>
  <c r="D479" i="3" a="1"/>
  <c r="A1010" i="3" a="1"/>
  <c r="D1421" i="3" a="1"/>
  <c r="B994" i="3" a="1"/>
  <c r="F853" i="3" a="1"/>
  <c r="F676" i="3" a="1"/>
  <c r="A46" i="3" a="1"/>
  <c r="E1204" i="3" a="1"/>
  <c r="B1188" i="3" a="1"/>
  <c r="A691" i="3" a="1"/>
  <c r="F1273" i="3" a="1"/>
  <c r="E819" i="3" a="1"/>
  <c r="B376" i="3" a="1"/>
  <c r="A1206" i="3" a="1"/>
  <c r="E596" i="3" a="1"/>
  <c r="A1089" i="3" a="1"/>
  <c r="A665" i="3" a="1"/>
  <c r="A1335" i="3" a="1"/>
  <c r="A1376" i="3" a="1"/>
  <c r="A658" i="3" a="1"/>
  <c r="D1111" i="3" a="1"/>
  <c r="D598" i="3" a="1"/>
  <c r="E1043" i="3" a="1"/>
  <c r="E1359" i="3" a="1"/>
  <c r="D1044" i="3" a="1"/>
  <c r="B1009" i="3" a="1"/>
  <c r="D1213" i="3" a="1"/>
  <c r="B1029" i="3" a="1"/>
  <c r="D1187" i="3" a="1"/>
  <c r="F794" i="3" a="1"/>
  <c r="F1334" i="3" a="1"/>
  <c r="A1351" i="3" a="1"/>
  <c r="A816" i="3" a="1"/>
  <c r="B1059" i="3" a="1"/>
  <c r="F141" i="3" a="1"/>
  <c r="E543" i="3" a="1"/>
  <c r="D602" i="3" a="1"/>
  <c r="F1420" i="3" a="1"/>
  <c r="E1209" i="3" a="1"/>
  <c r="D931" i="3" a="1"/>
  <c r="B1330" i="3" a="1"/>
  <c r="B1372" i="3" a="1"/>
  <c r="E532" i="3" a="1"/>
  <c r="A1243" i="3" a="1"/>
  <c r="D907" i="3" a="1"/>
  <c r="C1085" i="3" a="1"/>
  <c r="E975" i="3" a="1"/>
  <c r="E557" i="3" a="1"/>
  <c r="A1247" i="3" a="1"/>
  <c r="B1284" i="3" a="1"/>
  <c r="B617" i="3" a="1"/>
  <c r="B931" i="3" a="1"/>
  <c r="F917" i="3" a="1"/>
  <c r="F831" i="3" a="1"/>
  <c r="B233" i="3" a="1"/>
  <c r="E1218" i="3" a="1"/>
  <c r="A1166" i="3" a="1"/>
  <c r="F695" i="3" a="1"/>
  <c r="E125" i="3" a="1"/>
  <c r="C323" i="3" a="1"/>
  <c r="F253" i="3" a="1"/>
  <c r="D696" i="3" a="1"/>
  <c r="A1293" i="3" a="1"/>
  <c r="F1148" i="3" a="1"/>
  <c r="F207" i="3" a="1"/>
  <c r="E1415" i="3" a="1"/>
  <c r="A523" i="3" a="1"/>
  <c r="C538" i="3" a="1"/>
  <c r="E1082" i="3" a="1"/>
  <c r="F1312" i="3" a="1"/>
  <c r="D52" i="3" a="1"/>
  <c r="C1405" i="3" a="1"/>
  <c r="E1092" i="3" a="1"/>
  <c r="E1358" i="3" a="1"/>
  <c r="B918" i="3" a="1"/>
  <c r="A551" i="3" a="1"/>
  <c r="C1166" i="3" a="1"/>
  <c r="B930" i="3" a="1"/>
  <c r="F1161" i="3" a="1"/>
  <c r="C1313" i="3" a="1"/>
  <c r="B1384" i="3" a="1"/>
  <c r="F414" i="3" a="1"/>
  <c r="C312" i="3" a="1"/>
  <c r="C288" i="3" a="1"/>
  <c r="F1166" i="3" a="1"/>
  <c r="E755" i="3" a="1"/>
  <c r="B861" i="3" a="1"/>
  <c r="C412" i="3" a="1"/>
  <c r="A974" i="3" a="1"/>
  <c r="F795" i="3" a="1"/>
  <c r="D556" i="3" a="1"/>
  <c r="D769" i="3" a="1"/>
  <c r="A850" i="3" a="1"/>
  <c r="C1074" i="3" a="1"/>
  <c r="A1380" i="3" a="1"/>
  <c r="C1055" i="3" a="1"/>
  <c r="C1082" i="3" a="1"/>
  <c r="C1291" i="3" a="1"/>
  <c r="A1304" i="3" a="1"/>
  <c r="A985" i="3" a="1"/>
  <c r="C809" i="3" a="1"/>
  <c r="C997" i="3" a="1"/>
  <c r="D964" i="3" a="1"/>
  <c r="D1233" i="3" a="1"/>
  <c r="F1157" i="3" a="1"/>
  <c r="F640" i="3" a="1"/>
  <c r="C522" i="3" a="1"/>
  <c r="B568" i="3" a="1"/>
  <c r="E788" i="3" a="1"/>
  <c r="D1246" i="3" a="1"/>
  <c r="C883" i="3" a="1"/>
  <c r="A1348" i="3" a="1"/>
  <c r="A825" i="3" a="1"/>
  <c r="C333" i="3" a="1"/>
  <c r="E904" i="3" a="1"/>
  <c r="C566" i="3" a="1"/>
  <c r="E989" i="3" a="1"/>
  <c r="E217" i="3" a="1"/>
  <c r="E1152" i="3" a="1"/>
  <c r="A1240" i="3" a="1"/>
  <c r="C937" i="3" a="1"/>
  <c r="A1296" i="3" a="1"/>
  <c r="E32" i="3" a="1"/>
  <c r="C633" i="3" a="1"/>
  <c r="F1229" i="3" a="1"/>
  <c r="D1222" i="3" a="1"/>
  <c r="C1006" i="3" a="1"/>
  <c r="A1184" i="3" a="1"/>
  <c r="D875" i="3" a="1"/>
  <c r="B760" i="3" a="1"/>
  <c r="B822" i="3" a="1"/>
  <c r="A984" i="3" a="1"/>
  <c r="A1383" i="3" a="1"/>
  <c r="C682" i="3" a="1"/>
  <c r="C1350" i="3" a="1"/>
  <c r="A844" i="3" a="1"/>
  <c r="F683" i="3" a="1"/>
  <c r="C1003" i="3" a="1"/>
  <c r="E514" i="3" a="1"/>
  <c r="D818" i="3" a="1"/>
  <c r="D610" i="3" a="1"/>
  <c r="E1156" i="3" a="1"/>
  <c r="B768" i="3" a="1"/>
  <c r="F1300" i="3" a="1"/>
  <c r="B1006" i="3" a="1"/>
  <c r="E779" i="3" a="1"/>
  <c r="F1072" i="3" a="1"/>
  <c r="C1136" i="3" a="1"/>
  <c r="C1247" i="3" a="1"/>
  <c r="F1392" i="3" a="1"/>
  <c r="E944" i="3" a="1"/>
  <c r="A876" i="3" a="1"/>
  <c r="F1205" i="3" a="1"/>
  <c r="C1384" i="3" a="1"/>
  <c r="B1160" i="3" a="1"/>
  <c r="E712" i="3" a="1"/>
  <c r="A1138" i="3" a="1"/>
  <c r="D776" i="3" a="1"/>
  <c r="C644" i="3" a="1"/>
  <c r="F394" i="3" a="1"/>
  <c r="A393" i="3" a="1"/>
  <c r="A792" i="3" a="1"/>
  <c r="F750" i="3" a="1"/>
  <c r="C196" i="3" a="1"/>
  <c r="C1234" i="3" a="1"/>
  <c r="D1385" i="3" a="1"/>
  <c r="E1083" i="3" a="1"/>
  <c r="C1021" i="3" a="1"/>
  <c r="D1303" i="3" a="1"/>
  <c r="C1133" i="3" a="1"/>
  <c r="D978" i="3" a="1"/>
  <c r="F1000" i="3" a="1"/>
  <c r="F1421" i="3" a="1"/>
  <c r="B942" i="3" a="1"/>
  <c r="C413" i="3" a="1"/>
  <c r="F844" i="3" a="1"/>
  <c r="B1304" i="3" a="1"/>
  <c r="A1127" i="3" a="1"/>
  <c r="C831" i="3" a="1"/>
  <c r="D558" i="3" a="1"/>
  <c r="F1386" i="3" a="1"/>
  <c r="B1136" i="3" a="1"/>
  <c r="F885" i="3" a="1"/>
  <c r="D764" i="3" a="1"/>
  <c r="E277" i="3" a="1"/>
  <c r="A640" i="3" a="1"/>
  <c r="B966" i="3" a="1"/>
  <c r="C941" i="3" a="1"/>
  <c r="F1408" i="3" a="1"/>
  <c r="F520" i="3" a="1"/>
  <c r="C1060" i="3" a="1"/>
  <c r="F313" i="3" a="1"/>
  <c r="F884" i="3" a="1"/>
  <c r="E1388" i="3" a="1"/>
  <c r="C855" i="3" a="1"/>
  <c r="B664" i="3" a="1"/>
  <c r="E774" i="3" a="1"/>
  <c r="D725" i="3" a="1"/>
  <c r="B603" i="3" a="1"/>
  <c r="C1345" i="3" a="1"/>
  <c r="D956" i="3" a="1"/>
  <c r="B1383" i="3" a="1"/>
  <c r="A953" i="3" a="1"/>
  <c r="F183" i="3" a="1"/>
  <c r="C1042" i="3" a="1"/>
  <c r="D951" i="3" a="1"/>
  <c r="A1002" i="3" a="1"/>
  <c r="B426" i="3" a="1"/>
  <c r="F1338" i="3" a="1"/>
  <c r="E1275" i="3" a="1"/>
  <c r="F1396" i="3" a="1"/>
  <c r="C813" i="3" a="1"/>
  <c r="F504" i="3" a="1"/>
  <c r="E1107" i="3" a="1"/>
  <c r="F1113" i="3" a="1"/>
  <c r="B1094" i="3" a="1"/>
  <c r="B773" i="3" a="1"/>
  <c r="A1226" i="3" a="1"/>
  <c r="D1251" i="3" a="1"/>
  <c r="B1258" i="3" a="1"/>
  <c r="C885" i="3" a="1"/>
  <c r="E790" i="3" a="1"/>
  <c r="A548" i="3" a="1"/>
  <c r="D421" i="3" a="1"/>
  <c r="B1227" i="3" a="1"/>
  <c r="E623" i="3" a="1"/>
  <c r="A823" i="3" a="1"/>
  <c r="A905" i="3" a="1"/>
  <c r="D590" i="3" a="1"/>
  <c r="C383" i="3" a="1"/>
  <c r="D249" i="3" a="1"/>
  <c r="B1331" i="3" a="1"/>
  <c r="E1237" i="3" a="1"/>
  <c r="B543" i="3" a="1"/>
  <c r="F1340" i="3" a="1"/>
  <c r="F907" i="3" a="1"/>
  <c r="F572" i="3" a="1"/>
  <c r="B1211" i="3" a="1"/>
  <c r="B872" i="3" a="1"/>
  <c r="D1397" i="3" a="1"/>
  <c r="B1274" i="3" a="1"/>
  <c r="D1170" i="3" a="1"/>
  <c r="A848" i="3" a="1"/>
  <c r="D208" i="3" a="1"/>
  <c r="A1068" i="3" a="1"/>
  <c r="A324" i="3" a="1"/>
  <c r="F658" i="3" a="1"/>
  <c r="B365" i="3" a="1"/>
  <c r="A591" i="3" a="1"/>
  <c r="B1272" i="3" a="1"/>
  <c r="B602" i="3" a="1"/>
  <c r="D843" i="3" a="1"/>
  <c r="F557" i="3" a="1"/>
  <c r="E604" i="3" a="1"/>
  <c r="D1146" i="3" a="1"/>
  <c r="F854" i="3" a="1"/>
  <c r="F1006" i="3" a="1"/>
  <c r="D724" i="3" a="1"/>
  <c r="B277" i="3" a="1"/>
  <c r="F391" i="3" a="1"/>
  <c r="D1102" i="3" a="1"/>
  <c r="F331" i="3" a="1"/>
  <c r="D74" i="3" a="1"/>
  <c r="C139" i="3" a="1"/>
  <c r="D988" i="3" a="1"/>
  <c r="C939" i="3" a="1"/>
  <c r="B250" i="3" a="1"/>
  <c r="A766" i="3" a="1"/>
  <c r="C893" i="3" a="1"/>
  <c r="C765" i="3" a="1"/>
  <c r="F1018" i="3" a="1"/>
  <c r="D767" i="3" a="1"/>
  <c r="E824" i="3" a="1"/>
  <c r="A1214" i="3" a="1"/>
  <c r="F776" i="3" a="1"/>
  <c r="B1082" i="3" a="1"/>
  <c r="C687" i="3" a="1"/>
  <c r="C715" i="3" a="1"/>
  <c r="D780" i="3" a="1"/>
  <c r="C1369" i="3" a="1"/>
  <c r="C1251" i="3" a="1"/>
  <c r="A362" i="3" a="1"/>
  <c r="C950" i="3" a="1"/>
  <c r="A622" i="3" a="1"/>
  <c r="B301" i="3" a="1"/>
  <c r="E799" i="3" a="1"/>
  <c r="B1273" i="3" a="1"/>
  <c r="C512" i="3" a="1"/>
  <c r="A256" i="3" a="1"/>
  <c r="B1366" i="3" a="1"/>
  <c r="D925" i="3" a="1"/>
  <c r="F1348" i="3" a="1"/>
  <c r="C1122" i="3" a="1"/>
  <c r="C616" i="3" a="1"/>
  <c r="E896" i="3" a="1"/>
  <c r="B1187" i="3" a="1"/>
  <c r="F1391" i="3" a="1"/>
  <c r="B1373" i="3" a="1"/>
  <c r="D1120" i="3" a="1"/>
  <c r="E630" i="3" a="1"/>
  <c r="F508" i="3" a="1"/>
  <c r="E1198" i="3" a="1"/>
  <c r="C556" i="3" a="1"/>
  <c r="E640" i="3" a="1"/>
  <c r="D101" i="3" a="1"/>
  <c r="D124" i="3" a="1"/>
  <c r="C128" i="3" a="1"/>
  <c r="A477" i="3" a="1"/>
  <c r="F767" i="3" a="1"/>
  <c r="D668" i="3" a="1"/>
  <c r="E816" i="3" a="1"/>
  <c r="F1002" i="3" a="1"/>
  <c r="B945" i="3" a="1"/>
  <c r="A1167" i="3" a="1"/>
  <c r="B1347" i="3" a="1"/>
  <c r="A65" i="3" a="1"/>
  <c r="B707" i="3" a="1"/>
  <c r="A1312" i="3" a="1"/>
  <c r="A239" i="3" a="1"/>
  <c r="E1347" i="3" a="1"/>
  <c r="B408" i="3" a="1"/>
  <c r="A183" i="3" a="1"/>
  <c r="D437" i="3" a="1"/>
  <c r="F1155" i="3" a="1"/>
  <c r="E111" i="3" a="1"/>
  <c r="B1058" i="3" a="1"/>
  <c r="E1081" i="3" a="1"/>
  <c r="A628" i="3" a="1"/>
  <c r="A274" i="3" a="1"/>
  <c r="A1052" i="3" a="1"/>
  <c r="A533" i="3" a="1"/>
  <c r="A559" i="3" a="1"/>
  <c r="E777" i="3" a="1"/>
  <c r="A1146" i="3" a="1"/>
  <c r="E1005" i="3" a="1"/>
  <c r="E314" i="3" a="1"/>
  <c r="D44" i="3" a="1"/>
  <c r="C698" i="3" a="1"/>
  <c r="C762" i="3" a="1"/>
  <c r="B1117" i="3" a="1"/>
  <c r="E374" i="3" a="1"/>
  <c r="E823" i="3" a="1"/>
  <c r="D1384" i="3" a="1"/>
  <c r="F1094" i="3" a="1"/>
  <c r="A996" i="3" a="1"/>
  <c r="A1340" i="3" a="1"/>
  <c r="F135" i="3" a="1"/>
  <c r="A888" i="3" a="1"/>
  <c r="C384" i="3" a="1"/>
  <c r="C1410" i="3" a="1"/>
  <c r="A295" i="3" a="1"/>
  <c r="D1269" i="3" a="1"/>
  <c r="D673" i="3" a="1"/>
  <c r="E1034" i="3" a="1"/>
  <c r="D1331" i="3" a="1"/>
  <c r="D1023" i="3" a="1"/>
  <c r="D1180" i="3" a="1"/>
  <c r="C1064" i="3" a="1"/>
  <c r="E651" i="3" a="1"/>
  <c r="E1340" i="3" a="1"/>
  <c r="D155" i="3" a="1"/>
  <c r="A1360" i="3" a="1"/>
  <c r="F943" i="3" a="1"/>
  <c r="F1207" i="3" a="1"/>
  <c r="D583" i="3" a="1"/>
  <c r="C569" i="3" a="1"/>
  <c r="C863" i="3" a="1"/>
  <c r="A1367" i="3" a="1"/>
  <c r="C1229" i="3" a="1"/>
  <c r="D946" i="3" a="1"/>
  <c r="E1303" i="3" a="1"/>
  <c r="D521" i="3" a="1"/>
  <c r="F1066" i="3" a="1"/>
  <c r="A194" i="3" a="1"/>
  <c r="B1376" i="3" a="1"/>
  <c r="E655" i="3" a="1"/>
  <c r="B1368" i="3" a="1"/>
  <c r="C207" i="3" a="1"/>
  <c r="A912" i="3" a="1"/>
  <c r="C892" i="3" a="1"/>
  <c r="F1054" i="3" a="1"/>
  <c r="C502" i="3" a="1"/>
  <c r="B558" i="3" a="1"/>
  <c r="E1017" i="3" a="1"/>
  <c r="E1120" i="3" a="1"/>
  <c r="A1329" i="3" a="1"/>
  <c r="B637" i="3" a="1"/>
  <c r="E815" i="3" a="1"/>
  <c r="E720" i="3" a="1"/>
  <c r="B155" i="3" a="1"/>
  <c r="C766" i="3" a="1"/>
  <c r="B874" i="3" a="1"/>
  <c r="A948" i="3" a="1"/>
  <c r="A800" i="3" a="1"/>
  <c r="D1132" i="3" a="1"/>
  <c r="A1233" i="3" a="1"/>
  <c r="D1351" i="3" a="1"/>
  <c r="C964" i="3" a="1"/>
  <c r="C1114" i="3" a="1"/>
  <c r="F1150" i="3" a="1"/>
  <c r="B715" i="3" a="1"/>
  <c r="C545" i="3" a="1"/>
  <c r="E864" i="3" a="1"/>
  <c r="E934" i="3" a="1"/>
  <c r="F1366" i="3" a="1"/>
  <c r="B727" i="3" a="1"/>
  <c r="A329" i="3" a="1"/>
  <c r="E552" i="3" a="1"/>
  <c r="A697" i="3" a="1"/>
  <c r="E1201" i="3" a="1"/>
  <c r="E971" i="3" a="1"/>
  <c r="A1285" i="3" a="1"/>
  <c r="C1045" i="3" a="1"/>
  <c r="C743" i="3" a="1"/>
  <c r="F1406" i="3" a="1"/>
  <c r="B1281" i="3" a="1"/>
  <c r="F1228" i="3" a="1"/>
  <c r="F578" i="3" a="1"/>
  <c r="F249" i="3" a="1"/>
  <c r="E1235" i="3" a="1"/>
  <c r="B1008" i="3" a="1"/>
  <c r="F722" i="3" a="1"/>
  <c r="E1333" i="3" a="1"/>
  <c r="B841" i="3" a="1"/>
  <c r="A978" i="3" a="1"/>
  <c r="A1038" i="3" a="1"/>
  <c r="F660" i="3" a="1"/>
  <c r="C1273" i="3" a="1"/>
  <c r="B1275" i="3" a="1"/>
  <c r="B950" i="3" a="1"/>
  <c r="A815" i="3" a="1"/>
  <c r="F834" i="3" a="1"/>
  <c r="D835" i="3" a="1"/>
  <c r="A696" i="3" a="1"/>
  <c r="E1013" i="3" a="1"/>
  <c r="B995" i="3" a="1"/>
  <c r="F419" i="3" a="1"/>
  <c r="D477" i="3" a="1"/>
  <c r="E227" i="3" a="1"/>
  <c r="A443" i="3" a="1"/>
  <c r="D637" i="3" a="1"/>
  <c r="E598" i="3" a="1"/>
  <c r="B944" i="3" a="1"/>
  <c r="B977" i="3" a="1"/>
  <c r="E928" i="3" a="1"/>
  <c r="D575" i="3" a="1"/>
  <c r="E652" i="3" a="1"/>
  <c r="E286" i="3" a="1"/>
  <c r="C1420" i="3" a="1"/>
  <c r="C574" i="3" a="1"/>
  <c r="D1301" i="3" a="1"/>
  <c r="A698" i="3" a="1"/>
  <c r="D1164" i="3" a="1"/>
  <c r="E419" i="3" a="1"/>
  <c r="C1051" i="3" a="1"/>
  <c r="B409" i="3" a="1"/>
  <c r="B361" i="3" a="1"/>
  <c r="D560" i="3" a="1"/>
  <c r="E865" i="3" a="1"/>
  <c r="A404" i="3" a="1"/>
  <c r="B519" i="3" a="1"/>
  <c r="D641" i="3" a="1"/>
  <c r="D880" i="3" a="1"/>
  <c r="F1114" i="3" a="1"/>
  <c r="C637" i="3" a="1"/>
  <c r="C464" i="3" a="1"/>
  <c r="E239" i="3" a="1"/>
  <c r="A993" i="3" a="1"/>
  <c r="E1105" i="3" a="1"/>
  <c r="E1181" i="3" a="1"/>
  <c r="E740" i="3" a="1"/>
  <c r="C1176" i="3" a="1"/>
  <c r="A1337" i="3" a="1"/>
  <c r="F1383" i="3" a="1"/>
  <c r="F1328" i="3" a="1"/>
  <c r="F787" i="3" a="1"/>
  <c r="B655" i="3" a="1"/>
  <c r="A1322" i="3" a="1"/>
  <c r="F891" i="3" a="1"/>
  <c r="C632" i="3" a="1"/>
  <c r="E1391" i="3" a="1"/>
  <c r="E756" i="3" a="1"/>
  <c r="D472" i="3" a="1"/>
  <c r="D21" i="3" a="1"/>
  <c r="D654" i="3" a="1"/>
  <c r="C962" i="3" a="1"/>
  <c r="C748" i="3" a="1"/>
  <c r="C457" i="3" a="1"/>
  <c r="B576" i="3" a="1"/>
  <c r="C609" i="3" a="1"/>
  <c r="E1279" i="3" a="1"/>
  <c r="F1344" i="3" a="1"/>
  <c r="A1423" i="3" a="1"/>
  <c r="F511" i="3" a="1"/>
  <c r="C1302" i="3" a="1"/>
  <c r="D721" i="3" a="1"/>
  <c r="E927" i="3" a="1"/>
  <c r="A1134" i="3" a="1"/>
  <c r="C661" i="3" a="1"/>
  <c r="D426" i="3" a="1"/>
  <c r="B873" i="3" a="1"/>
  <c r="A297" i="3" a="1"/>
  <c r="D100" i="3" a="1"/>
  <c r="B981" i="3" a="1"/>
  <c r="E1412" i="3" a="1"/>
  <c r="F869" i="3" a="1"/>
  <c r="E446" i="3" a="1"/>
  <c r="A498" i="3" a="1"/>
  <c r="F980" i="3" a="1"/>
  <c r="E935" i="3" a="1"/>
  <c r="A687" i="3" a="1"/>
  <c r="F1260" i="3" a="1"/>
  <c r="E1247" i="3" a="1"/>
  <c r="E528" i="3" a="1"/>
  <c r="A1287" i="3" a="1"/>
  <c r="A856" i="3" a="1"/>
  <c r="D852" i="3" a="1"/>
  <c r="D532" i="3" a="1"/>
  <c r="E1274" i="3" a="1"/>
  <c r="D1256" i="3" a="1"/>
  <c r="A877" i="3" a="1"/>
  <c r="F1095" i="3" a="1"/>
  <c r="F525" i="3" a="1"/>
  <c r="B736" i="3" a="1"/>
  <c r="B650" i="3" a="1"/>
  <c r="F782" i="3" a="1"/>
  <c r="B1356" i="3" a="1"/>
  <c r="A227" i="3" a="1"/>
  <c r="D348" i="3" a="1"/>
  <c r="A961" i="3" a="1"/>
  <c r="B1352" i="3" a="1"/>
  <c r="B647" i="3" a="1"/>
  <c r="B1350" i="3" a="1"/>
  <c r="E911" i="3" a="1"/>
  <c r="C1262" i="3" a="1"/>
  <c r="D503" i="3" a="1"/>
  <c r="B1207" i="3" a="1"/>
  <c r="D1118" i="3" a="1"/>
  <c r="A568" i="3" a="1"/>
  <c r="F603" i="3" a="1"/>
  <c r="A638" i="3" a="1"/>
  <c r="B1303" i="3" a="1"/>
  <c r="A860" i="3" a="1"/>
  <c r="C891" i="3" a="1"/>
  <c r="F816" i="3" a="1"/>
  <c r="D580" i="3" a="1"/>
  <c r="C1408" i="3" a="1"/>
  <c r="E1009" i="3" a="1"/>
  <c r="B388" i="3" a="1"/>
  <c r="B1248" i="3" a="1"/>
  <c r="D482" i="3" a="1"/>
  <c r="E897" i="3" a="1"/>
  <c r="B860" i="3" a="1"/>
  <c r="D1020" i="3" a="1"/>
  <c r="A1262" i="3" a="1"/>
  <c r="E351" i="3" a="1"/>
  <c r="B935" i="3" a="1"/>
  <c r="C1031" i="3" a="1"/>
  <c r="B836" i="3" a="1"/>
  <c r="F1201" i="3" a="1"/>
  <c r="F558" i="3" a="1"/>
  <c r="A545" i="3" a="1"/>
  <c r="A629" i="3" a="1"/>
  <c r="B1166" i="3" a="1"/>
  <c r="E443" i="3" a="1"/>
  <c r="E1421" i="3" a="1"/>
  <c r="F1046" i="3" a="1"/>
  <c r="A1394" i="3" a="1"/>
  <c r="D1361" i="3" a="1"/>
  <c r="F1063" i="3" a="1"/>
  <c r="A1303" i="3" a="1"/>
  <c r="B303" i="3" a="1"/>
  <c r="B1251" i="3" a="1"/>
  <c r="C1154" i="3" a="1"/>
  <c r="B122" i="3" a="1"/>
  <c r="A813" i="3" a="1"/>
  <c r="E564" i="3" a="1"/>
  <c r="C714" i="3" a="1"/>
  <c r="E1248" i="3" a="1"/>
  <c r="B1305" i="3" a="1"/>
  <c r="A942" i="3" a="1"/>
  <c r="B1027" i="3" a="1"/>
  <c r="D1145" i="3" a="1"/>
  <c r="F1329" i="3" a="1"/>
  <c r="E754" i="3" a="1"/>
  <c r="A1339" i="3" a="1"/>
  <c r="B835" i="3" a="1"/>
  <c r="F593" i="3" a="1"/>
  <c r="A1091" i="3" a="1"/>
  <c r="D758" i="3" a="1"/>
  <c r="B1385" i="3" a="1"/>
  <c r="B982" i="3" a="1"/>
  <c r="D1376" i="3" a="1"/>
  <c r="F1369" i="3" a="1"/>
  <c r="A544" i="3" a="1"/>
  <c r="C380" i="3" a="1"/>
  <c r="B1068" i="3" a="1"/>
  <c r="E678" i="3" a="1"/>
  <c r="F944" i="3" a="1"/>
  <c r="E433" i="3" a="1"/>
  <c r="C558" i="3" a="1"/>
  <c r="A668" i="3" a="1"/>
  <c r="B607" i="3" a="1"/>
  <c r="B634" i="3" a="1"/>
  <c r="D1021" i="3" a="1"/>
  <c r="A897" i="3" a="1"/>
  <c r="A170" i="3" a="1"/>
  <c r="D1228" i="3" a="1"/>
  <c r="C1224" i="3" a="1"/>
  <c r="B513" i="3" a="1"/>
  <c r="C1255" i="3" a="1"/>
  <c r="B1032" i="3" a="1"/>
  <c r="B311" i="3" a="1"/>
  <c r="F1144" i="3" a="1"/>
  <c r="B1037" i="3" a="1"/>
  <c r="D824" i="3" a="1"/>
  <c r="A957" i="3" a="1"/>
  <c r="E1392" i="3" a="1"/>
  <c r="F1209" i="3" a="1"/>
  <c r="F961" i="3" a="1"/>
  <c r="D1247" i="3" a="1"/>
  <c r="B1091" i="3" a="1"/>
  <c r="C419" i="3" a="1"/>
  <c r="B178" i="3" a="1"/>
  <c r="F1333" i="3" a="1"/>
  <c r="F1280" i="3" a="1"/>
  <c r="A1132" i="3" a="1"/>
  <c r="E1106" i="3" a="1"/>
  <c r="D861" i="3" a="1"/>
  <c r="D1314" i="3" a="1"/>
  <c r="D651" i="3" a="1"/>
  <c r="B1404" i="3" a="1"/>
  <c r="E1310" i="3" a="1"/>
  <c r="F675" i="3" a="1"/>
  <c r="A1234" i="3" a="1"/>
  <c r="E292" i="3" a="1"/>
  <c r="E1186" i="3" a="1"/>
  <c r="A1326" i="3" a="1"/>
  <c r="D1383" i="3" a="1"/>
  <c r="E872" i="3" a="1"/>
  <c r="A532" i="3" a="1"/>
  <c r="D1407" i="3" a="1"/>
  <c r="A641" i="3" a="1"/>
  <c r="B68" i="3" a="1"/>
  <c r="A1046" i="3" a="1"/>
  <c r="B829" i="3" a="1"/>
  <c r="B1413" i="3" a="1"/>
  <c r="F1085" i="3" a="1"/>
  <c r="F1122" i="3" a="1"/>
  <c r="F725" i="3" a="1"/>
  <c r="A1225" i="3" a="1"/>
  <c r="E136" i="3" a="1"/>
  <c r="C859" i="3" a="1"/>
  <c r="F878" i="3" a="1"/>
  <c r="D952" i="3" a="1"/>
  <c r="C373" i="3" a="1"/>
  <c r="E1217" i="3" a="1"/>
  <c r="C507" i="3" a="1"/>
  <c r="B450" i="3" a="1"/>
  <c r="D113" i="3" a="1"/>
  <c r="B1174" i="3" a="1"/>
  <c r="B103" i="3" a="1"/>
  <c r="C330" i="3" a="1"/>
  <c r="E452" i="3" a="1"/>
  <c r="C1239" i="3" a="1"/>
  <c r="D896" i="3" a="1"/>
  <c r="A1273" i="3" a="1"/>
  <c r="A1141" i="3" a="1"/>
  <c r="A1342" i="3" a="1"/>
  <c r="C206" i="3" a="1"/>
  <c r="D139" i="3" a="1"/>
  <c r="B801" i="3" a="1"/>
  <c r="C1192" i="3" a="1"/>
  <c r="D69" i="3" a="1"/>
  <c r="E796" i="3" a="1"/>
  <c r="D730" i="3" a="1"/>
  <c r="F1091" i="3" a="1"/>
  <c r="E669" i="3" a="1"/>
  <c r="C543" i="3" a="1"/>
  <c r="E866" i="3" a="1"/>
  <c r="C688" i="3" a="1"/>
  <c r="E1176" i="3" a="1"/>
  <c r="B1020" i="3" a="1"/>
  <c r="B710" i="3" a="1"/>
  <c r="D1337" i="3" a="1"/>
  <c r="A1397" i="3" a="1"/>
  <c r="A385" i="3" a="1"/>
  <c r="A796" i="3" a="1"/>
  <c r="F1388" i="3" a="1"/>
  <c r="F357" i="3" a="1"/>
  <c r="A474" i="3" a="1"/>
  <c r="A881" i="3" a="1"/>
  <c r="E931" i="3" a="1"/>
  <c r="F297" i="3" a="1"/>
  <c r="A286" i="3" a="1"/>
  <c r="E318" i="3" a="1"/>
  <c r="D579" i="3" a="1"/>
  <c r="B487" i="3" a="1"/>
  <c r="F3" i="3" a="1"/>
  <c r="B1357" i="3" a="1"/>
  <c r="C1387" i="3" a="1"/>
  <c r="C1425" i="3" a="1"/>
  <c r="D890" i="3" a="1"/>
  <c r="B833" i="3" a="1"/>
  <c r="E1174" i="3" a="1"/>
  <c r="C422" i="3" a="1"/>
  <c r="D1067" i="3" a="1"/>
  <c r="D1171" i="3" a="1"/>
  <c r="E466" i="3" a="1"/>
  <c r="D1329" i="3" a="1"/>
  <c r="E1403" i="3" a="1"/>
  <c r="D572" i="3" a="1"/>
  <c r="E869" i="3" a="1"/>
  <c r="C834" i="3" a="1"/>
  <c r="F922" i="3" a="1"/>
  <c r="C1296" i="3" a="1"/>
  <c r="E734" i="3" a="1"/>
  <c r="D1344" i="3" a="1"/>
  <c r="E767" i="3" a="1"/>
  <c r="D606" i="3" a="1"/>
  <c r="C1121" i="3" a="1"/>
  <c r="C1134" i="3" a="1"/>
  <c r="A718" i="3" a="1"/>
  <c r="F1033" i="3" a="1"/>
  <c r="D652" i="3" a="1"/>
  <c r="D755" i="3" a="1"/>
  <c r="F366" i="3" a="1"/>
  <c r="B1387" i="3" a="1"/>
  <c r="A890" i="3" a="1"/>
  <c r="F505" i="3" a="1"/>
  <c r="A1176" i="3" a="1"/>
  <c r="D1098" i="3" a="1"/>
  <c r="E1094" i="3" a="1"/>
  <c r="C1146" i="3" a="1"/>
  <c r="A1125" i="3" a="1"/>
  <c r="C415" i="3" a="1"/>
  <c r="E65" i="3" a="1"/>
  <c r="D882" i="3" a="1"/>
  <c r="B618" i="3" a="1"/>
  <c r="B1078" i="3" a="1"/>
  <c r="C973" i="3" a="1"/>
  <c r="E956" i="3" a="1"/>
  <c r="D195" i="3" a="1"/>
  <c r="E1138" i="3" a="1"/>
  <c r="C1381" i="3" a="1"/>
  <c r="C1035" i="3" a="1"/>
  <c r="B1093" i="3" a="1"/>
  <c r="C1377" i="3" a="1"/>
  <c r="F475" i="3" a="1"/>
  <c r="F101" i="3" a="1"/>
  <c r="E1384" i="3" a="1"/>
  <c r="A1275" i="3" a="1"/>
  <c r="E207" i="3" a="1"/>
  <c r="B530" i="3" a="1"/>
  <c r="A936" i="3" a="1"/>
  <c r="A34" i="3" a="1"/>
  <c r="A1117" i="3" a="1"/>
  <c r="B723" i="3" a="1"/>
  <c r="B577" i="3" a="1"/>
  <c r="F1341" i="3" a="1"/>
  <c r="F407" i="3" a="1"/>
  <c r="B567" i="3" a="1"/>
  <c r="C187" i="3" a="1"/>
  <c r="A1235" i="3" a="1"/>
  <c r="D1038" i="3" a="1"/>
  <c r="A983" i="3" a="1"/>
  <c r="E1177" i="3" a="1"/>
  <c r="D1013" i="3" a="1"/>
  <c r="A495" i="3" a="1"/>
  <c r="A1012" i="3" a="1"/>
  <c r="A433" i="3" a="1"/>
  <c r="A685" i="3" a="1"/>
  <c r="E536" i="3" a="1"/>
  <c r="A1096" i="3" a="1"/>
  <c r="B444" i="3" a="1"/>
  <c r="A1258" i="3" a="1"/>
  <c r="E43" i="3" a="1"/>
  <c r="B1071" i="3" a="1"/>
  <c r="E46" i="3" a="1"/>
  <c r="E405" i="3" a="1"/>
  <c r="B534" i="3" a="1"/>
  <c r="F150" i="3" a="1"/>
  <c r="D316" i="3" a="1"/>
  <c r="D98" i="3" a="1"/>
  <c r="A1404" i="3" a="1"/>
  <c r="C844" i="3" a="1"/>
  <c r="A455" i="3" a="1"/>
  <c r="D242" i="3" a="1"/>
  <c r="A1185" i="3" a="1"/>
  <c r="C900" i="3" a="1"/>
  <c r="A1186" i="3" a="1"/>
  <c r="F770" i="3" a="1"/>
  <c r="B925" i="3" a="1"/>
  <c r="C1319" i="3" a="1"/>
  <c r="C1219" i="3" a="1"/>
  <c r="C450" i="3" a="1"/>
  <c r="F686" i="3" a="1"/>
  <c r="F758" i="3" a="1"/>
  <c r="A836" i="3" a="1"/>
  <c r="E924" i="3" a="1"/>
  <c r="E261" i="3" a="1"/>
  <c r="C1371" i="3" a="1"/>
  <c r="B741" i="3" a="1"/>
  <c r="E1137" i="3" a="1"/>
  <c r="E1314" i="3" a="1"/>
  <c r="E750" i="3" a="1"/>
  <c r="D1420" i="3" a="1"/>
  <c r="D1025" i="3" a="1"/>
  <c r="E745" i="3" a="1"/>
  <c r="A1325" i="3" a="1"/>
  <c r="B580" i="3" a="1"/>
  <c r="B714" i="3" a="1"/>
  <c r="A296" i="3" a="1"/>
  <c r="A478" i="3" a="1"/>
  <c r="F926" i="3" a="1"/>
  <c r="D309" i="3" a="1"/>
  <c r="E1323" i="3" a="1"/>
  <c r="C1072" i="3" a="1"/>
  <c r="B1196" i="3" a="1"/>
  <c r="F1282" i="3" a="1"/>
  <c r="B246" i="3" a="1"/>
  <c r="C662" i="3" a="1"/>
  <c r="F803" i="3" a="1"/>
  <c r="E435" i="3" a="1"/>
  <c r="A105" i="3" a="1"/>
  <c r="E25" i="3" a="1"/>
  <c r="F867" i="3" a="1"/>
  <c r="F292" i="3" a="1"/>
  <c r="A666" i="3" a="1"/>
  <c r="E1179" i="3" a="1"/>
  <c r="F731" i="3" a="1"/>
  <c r="C718" i="3" a="1"/>
  <c r="E1030" i="3" a="1"/>
  <c r="B875" i="3" a="1"/>
  <c r="D586" i="3" a="1"/>
  <c r="C127" i="3" a="1"/>
  <c r="D762" i="3" a="1"/>
  <c r="C852" i="3" a="1"/>
  <c r="C610" i="3" a="1"/>
  <c r="E1262" i="3" a="1"/>
  <c r="D573" i="3" a="1"/>
  <c r="F49" i="3" a="1"/>
  <c r="E1206" i="3" a="1"/>
  <c r="F370" i="3" a="1"/>
  <c r="A999" i="3" a="1"/>
  <c r="F501" i="3" a="1"/>
  <c r="D183" i="3" a="1"/>
  <c r="E1147" i="3" a="1"/>
  <c r="A394" i="3" a="1"/>
  <c r="C225" i="3" a="1"/>
  <c r="B1256" i="3" a="1"/>
  <c r="E370" i="3" a="1"/>
  <c r="D750" i="3" a="1"/>
  <c r="A83" i="3" a="1"/>
  <c r="B1242" i="3" a="1"/>
  <c r="F703" i="3" a="1"/>
  <c r="F1400" i="3" a="1"/>
  <c r="A1355" i="3" a="1"/>
  <c r="A679" i="3" a="1"/>
  <c r="C1142" i="3" a="1"/>
  <c r="F1180" i="3" a="1"/>
  <c r="C296" i="3" a="1"/>
  <c r="F1306" i="3" a="1"/>
  <c r="B686" i="3" a="1"/>
  <c r="F1352" i="3" a="1"/>
  <c r="D945" i="3" a="1"/>
  <c r="D836" i="3" a="1"/>
  <c r="A911" i="3" a="1"/>
  <c r="C289" i="3" a="1"/>
  <c r="A1244" i="3" a="1"/>
  <c r="C1418" i="3" a="1"/>
  <c r="B992" i="3" a="1"/>
  <c r="C1153" i="3" a="1"/>
  <c r="C1019" i="3" a="1"/>
  <c r="C935" i="3" a="1"/>
  <c r="F486" i="3" a="1"/>
  <c r="E104" i="3" a="1"/>
  <c r="C1207" i="3" a="1"/>
  <c r="A488" i="3" a="1"/>
  <c r="B223" i="3" a="1"/>
  <c r="B1103" i="3" a="1"/>
  <c r="F992" i="3" a="1"/>
  <c r="E274" i="3" a="1"/>
  <c r="C599" i="3" a="1"/>
  <c r="E858" i="3" a="1"/>
  <c r="F1084" i="3" a="1"/>
  <c r="D1155" i="3" a="1"/>
  <c r="A8" i="3" a="1"/>
  <c r="E1348" i="3" a="1"/>
  <c r="C290" i="3" a="1"/>
  <c r="C535" i="3" a="1"/>
  <c r="F1387" i="3" a="1"/>
  <c r="D669" i="3" a="1"/>
  <c r="E970" i="3" a="1"/>
  <c r="F512" i="3" a="1"/>
  <c r="A1292" i="3" a="1"/>
  <c r="B1344" i="3" a="1"/>
  <c r="C886" i="3" a="1"/>
  <c r="B462" i="3" a="1"/>
  <c r="C848" i="3" a="1"/>
  <c r="F124" i="3" a="1"/>
  <c r="A1029" i="3" a="1"/>
  <c r="C465" i="3" a="1"/>
  <c r="C810" i="3" a="1"/>
  <c r="F993" i="3" a="1"/>
  <c r="D1005" i="3" a="1"/>
  <c r="E1238" i="3" a="1"/>
  <c r="C1034" i="3" a="1"/>
  <c r="A460" i="3" a="1"/>
  <c r="D271" i="3" a="1"/>
  <c r="D286" i="3" a="1"/>
  <c r="D1399" i="3" a="1"/>
  <c r="E851" i="3" a="1"/>
  <c r="C452" i="3" a="1"/>
  <c r="B1351" i="3" a="1"/>
  <c r="A1271" i="3" a="1"/>
  <c r="A1255" i="3" a="1"/>
  <c r="C411" i="3" a="1"/>
  <c r="E1210" i="3" a="1"/>
  <c r="F1191" i="3" a="1"/>
  <c r="C1002" i="3" a="1"/>
  <c r="C1214" i="3" a="1"/>
  <c r="D137" i="3" a="1"/>
  <c r="A644" i="3" a="1"/>
  <c r="E726" i="3" a="1"/>
  <c r="C656" i="3" a="1"/>
  <c r="E42" i="3" a="1"/>
  <c r="D922" i="3" a="1"/>
  <c r="D1062" i="3" a="1"/>
  <c r="E594" i="3" a="1"/>
  <c r="F1176" i="3" a="1"/>
  <c r="B868" i="3" a="1"/>
  <c r="D1001" i="3" a="1"/>
  <c r="F130" i="3" a="1"/>
  <c r="B630" i="3" a="1"/>
  <c r="A1211" i="3" a="1"/>
  <c r="F822" i="3" a="1"/>
  <c r="A1373" i="3" a="1"/>
  <c r="E674" i="3" a="1"/>
  <c r="F624" i="3" a="1"/>
  <c r="A1419" i="3" a="1"/>
  <c r="F497" i="3" a="1"/>
  <c r="B980" i="3" a="1"/>
  <c r="E593" i="3" a="1"/>
  <c r="C1423" i="3" a="1"/>
  <c r="C1352" i="3" a="1"/>
  <c r="D932" i="3" a="1"/>
  <c r="A1070" i="3" a="1"/>
  <c r="C1402" i="3" a="1"/>
  <c r="A85" i="3" a="1"/>
  <c r="E925" i="3" a="1"/>
  <c r="B1200" i="3" a="1"/>
  <c r="B545" i="3" a="1"/>
  <c r="E724" i="3" a="1"/>
  <c r="E967" i="3" a="1"/>
  <c r="B1002" i="3" a="1"/>
  <c r="E457" i="3" a="1"/>
  <c r="B1110" i="3" a="1"/>
  <c r="B389" i="3" a="1"/>
  <c r="B298" i="3" a="1"/>
  <c r="E905" i="3" a="1"/>
  <c r="A1016" i="3" a="1"/>
  <c r="C1329" i="3" a="1"/>
  <c r="A387" i="3" a="1"/>
  <c r="E614" i="3" a="1"/>
  <c r="F1089" i="3" a="1"/>
  <c r="A490" i="3" a="1"/>
  <c r="B777" i="3" a="1"/>
  <c r="C846" i="3" a="1"/>
  <c r="B1229" i="3" a="1"/>
  <c r="A976" i="3" a="1"/>
  <c r="F1133" i="3" a="1"/>
  <c r="E1133" i="3" a="1"/>
  <c r="B517" i="3" a="1"/>
  <c r="B943" i="3" a="1"/>
  <c r="F899" i="3" a="1"/>
  <c r="F328" i="3" a="1"/>
  <c r="E849" i="3" a="1"/>
  <c r="E533" i="3" a="1"/>
  <c r="F1241" i="3" a="1"/>
  <c r="A695" i="3" a="1"/>
  <c r="E1060" i="3" a="1"/>
  <c r="A1054" i="3" a="1"/>
  <c r="D788" i="3" a="1"/>
  <c r="F1045" i="3" a="1"/>
  <c r="B1167" i="3" a="1"/>
  <c r="B924" i="3" a="1"/>
  <c r="A639" i="3" a="1"/>
  <c r="E1141" i="3" a="1"/>
  <c r="B1063" i="3" a="1"/>
  <c r="C369" i="3" a="1"/>
  <c r="E730" i="3" a="1"/>
  <c r="A1364" i="3" a="1"/>
  <c r="D110" i="3" a="1"/>
  <c r="F462" i="3" a="1"/>
  <c r="F351" i="3" a="1"/>
  <c r="F1367" i="3" a="1"/>
  <c r="A1318" i="3" a="1"/>
  <c r="A508" i="3" a="1"/>
  <c r="A870" i="3" a="1"/>
  <c r="A675" i="3" a="1"/>
  <c r="E1100" i="3" a="1"/>
  <c r="C1083" i="3" a="1"/>
  <c r="F789" i="3" a="1"/>
  <c r="E979" i="3" a="1"/>
  <c r="B1319" i="3" a="1"/>
  <c r="B987" i="3" a="1"/>
  <c r="F1389" i="3" a="1"/>
  <c r="A1297" i="3" a="1"/>
  <c r="B542" i="3" a="1"/>
  <c r="E1111" i="3" a="1"/>
  <c r="D1224" i="3" a="1"/>
  <c r="C1137" i="3" a="1"/>
  <c r="A607" i="3" a="1"/>
  <c r="D760" i="3" a="1"/>
  <c r="F554" i="3" a="1"/>
  <c r="A49" i="3" a="1"/>
  <c r="C753" i="3" a="1"/>
  <c r="B797" i="3" a="1"/>
  <c r="F1190" i="3" a="1"/>
  <c r="E993" i="3" a="1"/>
  <c r="C585" i="3" a="1"/>
  <c r="B902" i="3" a="1"/>
  <c r="D977" i="3" a="1"/>
  <c r="D1188" i="3" a="1"/>
  <c r="A1321" i="3" a="1"/>
  <c r="C379" i="3" a="1"/>
  <c r="E542" i="3" a="1"/>
  <c r="D457" i="3" a="1"/>
  <c r="D1271" i="3" a="1"/>
  <c r="E968" i="3" a="1"/>
  <c r="F1279" i="3" a="1"/>
  <c r="B743" i="3" a="1"/>
  <c r="B990" i="3" a="1"/>
  <c r="A428" i="3" a="1"/>
  <c r="C860" i="3" a="1"/>
  <c r="F1031" i="3" a="1"/>
  <c r="B929" i="3" a="1"/>
  <c r="D1047" i="3" a="1"/>
  <c r="E1260" i="3" a="1"/>
  <c r="F257" i="3" a="1"/>
  <c r="D474" i="3" a="1"/>
  <c r="D943" i="3" a="1"/>
  <c r="D588" i="3" a="1"/>
  <c r="F406" i="3" a="1"/>
  <c r="A540" i="3" a="1"/>
  <c r="E23" i="3" a="1"/>
  <c r="A676" i="3" a="1"/>
  <c r="B332" i="3" a="1"/>
  <c r="C1303" i="3" a="1"/>
  <c r="A35" i="3" a="1"/>
  <c r="D695" i="3" a="1"/>
  <c r="F1082" i="3" a="1"/>
  <c r="E1073" i="3" a="1"/>
  <c r="C357" i="3" a="1"/>
  <c r="D639" i="3" a="1"/>
  <c r="D1106" i="3" a="1"/>
  <c r="E771" i="3" a="1"/>
  <c r="F882" i="3" a="1"/>
  <c r="E1292" i="3" a="1"/>
  <c r="A756" i="3" a="1"/>
  <c r="C605" i="3" a="1"/>
  <c r="F893" i="3" a="1"/>
  <c r="F1403" i="3" a="1"/>
  <c r="E1312" i="3" a="1"/>
  <c r="E803" i="3" a="1"/>
  <c r="D759" i="3" a="1"/>
  <c r="C1232" i="3" a="1"/>
  <c r="C968" i="3" a="1"/>
  <c r="E900" i="3" a="1"/>
  <c r="E118" i="3" a="1"/>
  <c r="B1265" i="3" a="1"/>
  <c r="B974" i="3" a="1"/>
  <c r="B970" i="3" a="1"/>
  <c r="F1290" i="3" a="1"/>
  <c r="D980" i="3" a="1"/>
  <c r="C499" i="3" a="1"/>
  <c r="A599" i="3" a="1"/>
  <c r="D1203" i="3" a="1"/>
  <c r="A951" i="3" a="1"/>
  <c r="C1079" i="3" a="1"/>
  <c r="D1127" i="3" a="1"/>
  <c r="E953" i="3" a="1"/>
  <c r="E11" i="3" a="1"/>
  <c r="A1254" i="3" a="1"/>
  <c r="F1142" i="3" a="1"/>
  <c r="A195" i="3" a="1"/>
  <c r="C1230" i="3" a="1"/>
  <c r="C1417" i="3" a="1"/>
  <c r="F1193" i="3" a="1"/>
  <c r="E743" i="3" a="1"/>
  <c r="C1148" i="3" a="1"/>
  <c r="F958" i="3" a="1"/>
  <c r="D1205" i="3" a="1"/>
  <c r="A406" i="3" a="1"/>
  <c r="D859" i="3" a="1"/>
  <c r="D444" i="3" a="1"/>
  <c r="D1209" i="3" a="1"/>
  <c r="E1370" i="3" a="1"/>
  <c r="A1417" i="3" a="1"/>
  <c r="C822" i="3" a="1"/>
  <c r="B538" i="3" a="1"/>
  <c r="D1035" i="3" a="1"/>
  <c r="F562" i="3" a="1"/>
  <c r="D1289" i="3" a="1"/>
  <c r="A563" i="3" a="1"/>
  <c r="A484" i="3" a="1"/>
  <c r="A1001" i="3" a="1"/>
  <c r="E1077" i="3" a="1"/>
  <c r="D892" i="3" a="1"/>
  <c r="B585" i="3" a="1"/>
  <c r="A1020" i="3" a="1"/>
  <c r="A929" i="3" a="1"/>
  <c r="F617" i="3" a="1"/>
  <c r="D1019" i="3" a="1"/>
  <c r="F920" i="3" a="1"/>
  <c r="F1322" i="3" a="1"/>
  <c r="D752" i="3" a="1"/>
  <c r="C1363" i="3" a="1"/>
  <c r="B775" i="3" a="1"/>
  <c r="A1015" i="3" a="1"/>
  <c r="A660" i="3" a="1"/>
  <c r="B1326" i="3" a="1"/>
  <c r="B961" i="3" a="1"/>
  <c r="C725" i="3" a="1"/>
  <c r="D646" i="3" a="1"/>
  <c r="C109" i="3" a="1"/>
  <c r="D958" i="3" a="1"/>
  <c r="F1417" i="3" a="1"/>
  <c r="C864" i="3" a="1"/>
  <c r="A1422" i="3" a="1"/>
  <c r="B1154" i="3" a="1"/>
  <c r="A1075" i="3" a="1"/>
  <c r="E1171" i="3" a="1"/>
  <c r="F159" i="3" a="1"/>
  <c r="D1043" i="3" a="1"/>
  <c r="D933" i="3" a="1"/>
  <c r="B495" i="3" a="1"/>
  <c r="D1316" i="3" a="1"/>
  <c r="B1266" i="3" a="1"/>
  <c r="E556" i="3" a="1"/>
  <c r="A838" i="3" a="1"/>
  <c r="D1144" i="3" a="1"/>
  <c r="E516" i="3" a="1"/>
  <c r="D1389" i="3" a="1"/>
  <c r="F577" i="3" a="1"/>
  <c r="A966" i="3" a="1"/>
  <c r="E619" i="3" a="1"/>
  <c r="D331" i="3" a="1"/>
  <c r="D443" i="3" a="1"/>
  <c r="C1201" i="3" a="1"/>
  <c r="B66" i="3" a="1"/>
  <c r="D811" i="3" a="1"/>
  <c r="C1314" i="3" a="1"/>
  <c r="C733" i="3" a="1"/>
  <c r="D1137" i="3" a="1"/>
  <c r="D292" i="3" a="1"/>
  <c r="E659" i="3" a="1"/>
  <c r="E1404" i="3" a="1"/>
  <c r="D1354" i="3" a="1"/>
  <c r="C1349" i="3" a="1"/>
  <c r="C1161" i="3" a="1"/>
  <c r="B1411" i="3" a="1"/>
  <c r="D366" i="3" a="1"/>
  <c r="B314" i="3" a="1"/>
  <c r="F1313" i="3" a="1"/>
  <c r="F1311" i="3" a="1"/>
  <c r="A605" i="3" a="1"/>
  <c r="A1201" i="3" a="1"/>
  <c r="F1351" i="3" a="1"/>
  <c r="C940" i="3" a="1"/>
  <c r="B267" i="3" a="1"/>
  <c r="C642" i="3" a="1"/>
  <c r="C1199" i="3" a="1"/>
  <c r="A924" i="3" a="1"/>
  <c r="F1364" i="3" a="1"/>
  <c r="A1242" i="3" a="1"/>
  <c r="B1230" i="3" a="1"/>
  <c r="A1331" i="3" a="1"/>
  <c r="C588" i="3" a="1"/>
  <c r="F1278" i="3" a="1"/>
  <c r="A1319" i="3" a="1"/>
  <c r="A907" i="3" a="1"/>
  <c r="D902" i="3" a="1"/>
  <c r="C693" i="3" a="1"/>
  <c r="F940" i="3" a="1"/>
  <c r="C1397" i="3" a="1"/>
  <c r="F967" i="3" a="1"/>
  <c r="D1200" i="3" a="1"/>
  <c r="B888" i="3" a="1"/>
  <c r="E1126" i="3" a="1"/>
  <c r="B913" i="3" a="1"/>
  <c r="A937" i="3" a="1"/>
  <c r="F1230" i="3" a="1"/>
  <c r="C1187" i="3" a="1"/>
  <c r="F764" i="3" a="1"/>
  <c r="B475" i="3" a="1"/>
  <c r="E1343" i="3" a="1"/>
  <c r="A742" i="3" a="1"/>
  <c r="D1347" i="3" a="1"/>
  <c r="A1115" i="3" a="1"/>
  <c r="E687" i="3" a="1"/>
  <c r="B564" i="3" a="1"/>
  <c r="D1260" i="3" a="1"/>
  <c r="E856" i="3" a="1"/>
  <c r="E1202" i="3" a="1"/>
  <c r="C1233" i="3" a="1"/>
  <c r="F553" i="3" a="1"/>
  <c r="C1016" i="3" a="1"/>
  <c r="A649" i="3" a="1"/>
  <c r="E251" i="3" a="1"/>
  <c r="C833" i="3" a="1"/>
  <c r="F472" i="3" a="1"/>
  <c r="B1217" i="3" a="1"/>
  <c r="B1181" i="3" a="1"/>
  <c r="D728" i="3" a="1"/>
  <c r="C114" i="3" a="1"/>
  <c r="A653" i="3" a="1"/>
  <c r="F1247" i="3" a="1"/>
  <c r="A1200" i="3" a="1"/>
  <c r="D1094" i="3" a="1"/>
  <c r="D872" i="3" a="1"/>
  <c r="B1024" i="3" a="1"/>
  <c r="A1323" i="3" a="1"/>
  <c r="E1378" i="3" a="1"/>
  <c r="F938" i="3" a="1"/>
  <c r="D798" i="3" a="1"/>
  <c r="D1131" i="3" a="1"/>
  <c r="B1299" i="3" a="1"/>
  <c r="F1051" i="3" a="1"/>
  <c r="A1199" i="3" a="1"/>
  <c r="A1366" i="3" a="1"/>
  <c r="E889" i="3" a="1"/>
  <c r="A1084" i="3" a="1"/>
  <c r="B484" i="3" a="1"/>
  <c r="F470" i="3" a="1"/>
  <c r="B731" i="3" a="1"/>
  <c r="C976" i="3" a="1"/>
  <c r="A987" i="3" a="1"/>
  <c r="C1261" i="3" a="1"/>
  <c r="C749" i="3" a="1"/>
  <c r="E474" i="3" a="1"/>
  <c r="D693" i="3" a="1"/>
  <c r="A765" i="3" a="1"/>
  <c r="D886" i="3" a="1"/>
  <c r="C1063" i="3" a="1"/>
  <c r="C691" i="3" a="1"/>
  <c r="E1264" i="3" a="1"/>
  <c r="D1049" i="3" a="1"/>
  <c r="E714" i="3" a="1"/>
  <c r="C732" i="3" a="1"/>
  <c r="D1008" i="3" a="1"/>
  <c r="C1150" i="3" a="1"/>
  <c r="A904" i="3" a="1"/>
  <c r="D810" i="3" a="1"/>
  <c r="B1288" i="3" a="1"/>
  <c r="F1151" i="3" a="1"/>
  <c r="E501" i="3" a="1"/>
  <c r="D814" i="3" a="1"/>
  <c r="C1124" i="3" a="1"/>
  <c r="A1133" i="3" a="1"/>
  <c r="F921" i="3" a="1"/>
  <c r="D1285" i="3" a="1"/>
  <c r="E1414" i="3" a="1"/>
  <c r="D303" i="3" a="1"/>
  <c r="C521" i="3" a="1"/>
  <c r="B1004" i="3" a="1"/>
  <c r="E943" i="3" a="1"/>
  <c r="A1107" i="3" a="1"/>
  <c r="F1111" i="3" a="1"/>
  <c r="A663" i="3" a="1"/>
  <c r="B1419" i="3" a="1"/>
  <c r="A760" i="3" a="1"/>
  <c r="B740" i="3" a="1"/>
  <c r="C735" i="3" a="1"/>
  <c r="B786" i="3" a="1"/>
  <c r="E147" i="3" a="1"/>
  <c r="A1025" i="3" a="1"/>
  <c r="D838" i="3" a="1"/>
  <c r="E7" i="3" a="1"/>
  <c r="E428" i="3" a="1"/>
  <c r="D1204" i="3" a="1"/>
  <c r="C655" i="3" a="1"/>
  <c r="A1361" i="3" a="1"/>
  <c r="B728" i="3" a="1"/>
  <c r="F923" i="3" a="1"/>
  <c r="E749" i="3" a="1"/>
  <c r="B1252" i="3" a="1"/>
  <c r="E1148" i="3" a="1"/>
  <c r="D650" i="3" a="1"/>
  <c r="C684" i="3" a="1"/>
  <c r="E1328" i="3" a="1"/>
  <c r="D1177" i="3" a="1"/>
  <c r="C984" i="3" a="1"/>
  <c r="C990" i="3" a="1"/>
  <c r="B1220" i="3" a="1"/>
  <c r="E793" i="3" a="1"/>
  <c r="B1126" i="3" a="1"/>
  <c r="D935" i="3" a="1"/>
  <c r="E473" i="3" a="1"/>
  <c r="A874" i="3" a="1"/>
  <c r="A1188" i="3" a="1"/>
  <c r="D815" i="3" a="1"/>
  <c r="E223" i="3" a="1"/>
  <c r="F647" i="3" a="1"/>
  <c r="F1345" i="3" a="1"/>
  <c r="B659" i="3" a="1"/>
  <c r="E1049" i="3" a="1"/>
  <c r="E709" i="3" a="1"/>
  <c r="E600" i="3" a="1"/>
  <c r="A1113" i="3" a="1"/>
  <c r="B965" i="3" a="1"/>
  <c r="F756" i="3" a="1"/>
  <c r="D20" i="3" a="1"/>
  <c r="F791" i="3" a="1"/>
  <c r="F543" i="3" a="1"/>
  <c r="E1103" i="3" a="1"/>
  <c r="E984" i="3" a="1"/>
  <c r="F556" i="3" a="1"/>
  <c r="A790" i="3" a="1"/>
  <c r="D929" i="3" a="1"/>
  <c r="A1019" i="3" a="1"/>
  <c r="A917" i="3" a="1"/>
  <c r="F1217" i="3" a="1"/>
  <c r="F1255" i="3" a="1"/>
  <c r="A706" i="3" a="1"/>
  <c r="E711" i="3" a="1"/>
  <c r="B919" i="3" a="1"/>
  <c r="D615" i="3" a="1"/>
  <c r="B544" i="3" a="1"/>
  <c r="C985" i="3" a="1"/>
  <c r="E645" i="3" a="1"/>
  <c r="B247" i="3" a="1"/>
  <c r="F1016" i="3" a="1"/>
  <c r="B586" i="3" a="1"/>
  <c r="E1123" i="3" a="1"/>
  <c r="D525" i="3" a="1"/>
  <c r="E1040" i="3" a="1"/>
  <c r="B493" i="3" a="1"/>
  <c r="D973" i="3" a="1"/>
  <c r="D1103" i="3" a="1"/>
  <c r="F568" i="3" a="1"/>
  <c r="A115" i="3" a="1"/>
  <c r="D97" i="3" a="1"/>
  <c r="A873" i="3" a="1"/>
  <c r="F1075" i="3" a="1"/>
  <c r="D1404" i="3" a="1"/>
  <c r="A1032" i="3" a="1"/>
  <c r="E1037" i="3" a="1"/>
  <c r="F1156" i="3" a="1"/>
  <c r="E449" i="3" a="1"/>
  <c r="A1358" i="3" a="1"/>
  <c r="F1370" i="3" a="1"/>
  <c r="E1172" i="3" a="1"/>
  <c r="A1300" i="3" a="1"/>
  <c r="D1245" i="3" a="1"/>
  <c r="E1420" i="3" a="1"/>
  <c r="E1166" i="3" a="1"/>
  <c r="A1087" i="3" a="1"/>
  <c r="A725" i="3" a="1"/>
  <c r="C102" i="3" a="1"/>
  <c r="D658" i="3" a="1"/>
  <c r="F832" i="3" a="1"/>
  <c r="E837" i="3" a="1"/>
  <c r="C992" i="3" a="1"/>
  <c r="E961" i="3" a="1"/>
  <c r="A184" i="3" a="1"/>
  <c r="D645" i="3" a="1"/>
  <c r="D1283" i="3" a="1"/>
  <c r="F369" i="3" a="1"/>
  <c r="F442" i="3" a="1"/>
  <c r="A408" i="3" a="1"/>
  <c r="D278" i="3" a="1"/>
  <c r="E1048" i="3" a="1"/>
  <c r="C712" i="3" a="1"/>
  <c r="B968" i="3" a="1"/>
  <c r="A814" i="3" a="1"/>
  <c r="D1341" i="3" a="1"/>
  <c r="A807" i="3" a="1"/>
  <c r="A1071" i="3" a="1"/>
  <c r="E499" i="3" a="1"/>
  <c r="C1149" i="3" a="1"/>
  <c r="A350" i="3" a="1"/>
  <c r="E642" i="3" a="1"/>
  <c r="E1374" i="3" a="1"/>
  <c r="E1129" i="3" a="1"/>
  <c r="E919" i="3" a="1"/>
  <c r="E1393" i="3" a="1"/>
  <c r="B849" i="3" a="1"/>
  <c r="C1370" i="3" a="1"/>
  <c r="A231" i="3" a="1"/>
  <c r="B341" i="3" a="1"/>
  <c r="C907" i="3" a="1"/>
  <c r="C668" i="3" a="1"/>
  <c r="B657" i="3" a="1"/>
  <c r="F1327" i="3" a="1"/>
  <c r="A344" i="3" a="1"/>
  <c r="B1109" i="3" a="1"/>
  <c r="B1339" i="3" a="1"/>
  <c r="A110" i="3" a="1"/>
  <c r="F630" i="3" a="1"/>
  <c r="D272" i="3" a="1"/>
  <c r="F490" i="3" a="1"/>
  <c r="F1264" i="3" a="1"/>
  <c r="E644" i="3" a="1"/>
  <c r="D1422" i="3" a="1"/>
  <c r="D275" i="3" a="1"/>
  <c r="F1003" i="3" a="1"/>
  <c r="C1243" i="3" a="1"/>
  <c r="A103" i="3" a="1"/>
  <c r="E1158" i="3" a="1"/>
  <c r="D1126" i="3" a="1"/>
  <c r="D329" i="3" a="1"/>
  <c r="C145" i="3" a="1"/>
  <c r="C219" i="3" a="1"/>
  <c r="C376" i="3" a="1"/>
  <c r="E1003" i="3" a="1"/>
  <c r="B627" i="3" a="1"/>
  <c r="B1185" i="3" a="1"/>
  <c r="D1055" i="3" a="1"/>
  <c r="D1014" i="3" a="1"/>
  <c r="D1175" i="3" a="1"/>
  <c r="B1139" i="3" a="1"/>
  <c r="F807" i="3" a="1"/>
  <c r="B666" i="3" a="1"/>
  <c r="E56" i="3" a="1"/>
  <c r="A511" i="3" a="1"/>
  <c r="F1268" i="3" a="1"/>
  <c r="B1388" i="3" a="1"/>
  <c r="D936" i="3" a="1"/>
  <c r="C906" i="3" a="1"/>
  <c r="C998" i="3" a="1"/>
  <c r="E1278" i="3" a="1"/>
  <c r="C1227" i="3" a="1"/>
  <c r="E878" i="3" a="1"/>
  <c r="E1335" i="3" a="1"/>
  <c r="E635" i="3" a="1"/>
  <c r="C467" i="3" a="1"/>
  <c r="D523" i="3" a="1"/>
  <c r="D225" i="3" a="1"/>
  <c r="B712" i="3" a="1"/>
  <c r="A719" i="3" a="1"/>
  <c r="A614" i="3" a="1"/>
  <c r="B1197" i="3" a="1"/>
  <c r="D1172" i="3" a="1"/>
  <c r="E1376" i="3" a="1"/>
  <c r="C340" i="3" a="1"/>
  <c r="A1137" i="3" a="1"/>
  <c r="B1081" i="3" a="1"/>
  <c r="C596" i="3" a="1"/>
  <c r="E769" i="3" a="1"/>
  <c r="A954" i="3" a="1"/>
  <c r="E495" i="3" a="1"/>
  <c r="D578" i="3" a="1"/>
  <c r="B499" i="3" a="1"/>
  <c r="E309" i="3" a="1"/>
  <c r="D851" i="3" a="1"/>
  <c r="F1346" i="3" a="1"/>
  <c r="D901" i="3" a="1"/>
  <c r="D719" i="3" a="1"/>
  <c r="A1037" i="3" a="1"/>
  <c r="D420" i="3" a="1"/>
  <c r="B735" i="3" a="1"/>
  <c r="A1289" i="3" a="1"/>
  <c r="E545" i="3" a="1"/>
  <c r="A405" i="3" a="1"/>
  <c r="C527" i="3" a="1"/>
  <c r="E560" i="3" a="1"/>
  <c r="A52" i="3" a="1"/>
  <c r="A390" i="3" a="1"/>
  <c r="C1304" i="3" a="1"/>
  <c r="A1320" i="3" a="1"/>
  <c r="D823" i="3" a="1"/>
  <c r="C832" i="3" a="1"/>
  <c r="A1381" i="3" a="1"/>
  <c r="A1079" i="3" a="1"/>
  <c r="B1168" i="3" a="1"/>
  <c r="E567" i="3" a="1"/>
  <c r="E1351" i="3" a="1"/>
  <c r="D972" i="3" a="1"/>
  <c r="C162" i="3" a="1"/>
  <c r="E672" i="3" a="1"/>
  <c r="C931" i="3" a="1"/>
  <c r="F600" i="3" a="1"/>
  <c r="A1147" i="3" a="1"/>
  <c r="B794" i="3" a="1"/>
  <c r="D994" i="3" a="1"/>
  <c r="C1160" i="3" a="1"/>
  <c r="E809" i="3" a="1"/>
  <c r="C755" i="3" a="1"/>
  <c r="C1071" i="3" a="1"/>
  <c r="C395" i="3" a="1"/>
  <c r="E373" i="3" a="1"/>
  <c r="D708" i="3" a="1"/>
  <c r="B186" i="3" a="1"/>
  <c r="C972" i="3" a="1"/>
  <c r="F1040" i="3" a="1"/>
  <c r="E1099" i="3" a="1"/>
  <c r="B1210" i="3" a="1"/>
  <c r="B1423" i="3" a="1"/>
  <c r="A580" i="3" a="1"/>
  <c r="D1319" i="3" a="1"/>
  <c r="E331" i="3" a="1"/>
  <c r="D881" i="3" a="1"/>
  <c r="D1211" i="3" a="1"/>
  <c r="B1222" i="3" a="1"/>
  <c r="E295" i="3" a="1"/>
  <c r="D539" i="3" a="1"/>
  <c r="B139" i="3" a="1"/>
  <c r="A1050" i="3" a="1"/>
  <c r="D454" i="3" a="1"/>
  <c r="B476" i="3" a="1"/>
  <c r="C897" i="3" a="1"/>
  <c r="D868" i="3" a="1"/>
  <c r="D1087" i="3" a="1"/>
  <c r="F222" i="3" a="1"/>
  <c r="F564" i="3" a="1"/>
  <c r="D1054" i="3" a="1"/>
  <c r="F879" i="3" a="1"/>
  <c r="D1394" i="3" a="1"/>
  <c r="C803" i="3" a="1"/>
  <c r="C1297" i="3" a="1"/>
  <c r="F1301" i="3" a="1"/>
  <c r="F1056" i="3" a="1"/>
  <c r="F1192" i="3" a="1"/>
  <c r="B1264" i="3" a="1"/>
  <c r="B239" i="3" a="1"/>
  <c r="E1153" i="3" a="1"/>
  <c r="B1402" i="3" a="1"/>
  <c r="D1317" i="3" a="1"/>
  <c r="D1261" i="3" a="1"/>
  <c r="E789" i="3" a="1"/>
  <c r="A647" i="3" a="1"/>
  <c r="D995" i="3" a="1"/>
  <c r="B294" i="3" a="1"/>
  <c r="A264" i="3" a="1"/>
  <c r="C1104" i="3" a="1"/>
  <c r="D1352" i="3" a="1"/>
  <c r="C641" i="3" a="1"/>
  <c r="E425" i="3" a="1"/>
  <c r="F1012" i="3" a="1"/>
  <c r="C1390" i="3" a="1"/>
  <c r="A1288" i="3" a="1"/>
  <c r="E1233" i="3" a="1"/>
  <c r="D1336" i="3" a="1"/>
  <c r="D1096" i="3" a="1"/>
  <c r="D1018" i="3" a="1"/>
  <c r="A287" i="3" a="1"/>
  <c r="D554" i="3" a="1"/>
  <c r="A1391" i="3" a="1"/>
  <c r="B1180" i="3" a="1"/>
  <c r="E1203" i="3" a="1"/>
  <c r="E729" i="3" a="1"/>
  <c r="E531" i="3" a="1"/>
  <c r="A1270" i="3" a="1"/>
  <c r="E1109" i="3" a="1"/>
  <c r="B751" i="3" a="1"/>
  <c r="E820" i="3" a="1"/>
  <c r="B1077" i="3" a="1"/>
  <c r="A882" i="3" a="1"/>
  <c r="B1328" i="3" a="1"/>
  <c r="F1008" i="3" a="1"/>
  <c r="B1012" i="3" a="1"/>
  <c r="F977" i="3" a="1"/>
  <c r="A721" i="3" a="1"/>
  <c r="B410" i="3" a="1"/>
  <c r="D1268" i="3" a="1"/>
  <c r="F1284" i="3" a="1"/>
  <c r="E613" i="3" a="1"/>
  <c r="A1030" i="3" a="1"/>
  <c r="D996" i="3" a="1"/>
  <c r="E498" i="3" a="1"/>
  <c r="B1177" i="3" a="1"/>
  <c r="D894" i="3" a="1"/>
  <c r="E1336" i="3" a="1"/>
  <c r="B511" i="3" a="1"/>
  <c r="A1403" i="3" a="1"/>
  <c r="C1332" i="3" a="1"/>
  <c r="C843" i="3" a="1"/>
  <c r="E921" i="3" a="1"/>
  <c r="E843" i="3" a="1"/>
  <c r="A584" i="3" a="1"/>
  <c r="E910" i="3" a="1"/>
  <c r="E853" i="3" a="1"/>
  <c r="F691" i="3" a="1"/>
  <c r="F984" i="3" a="1"/>
  <c r="F1297" i="3" a="1"/>
  <c r="E620" i="3" a="1"/>
  <c r="E324" i="3" a="1"/>
  <c r="A566" i="3" a="1"/>
  <c r="D1320" i="3" a="1"/>
  <c r="B176" i="3" a="1"/>
  <c r="C708" i="3" a="1"/>
  <c r="E1140" i="3" a="1"/>
  <c r="E995" i="3" a="1"/>
  <c r="F915" i="3" a="1"/>
  <c r="E1357" i="3" a="1"/>
  <c r="D1234" i="3" a="1"/>
  <c r="C842" i="3" a="1"/>
  <c r="A1222" i="3" a="1"/>
  <c r="A680" i="3" a="1"/>
  <c r="E1194" i="3" a="1"/>
  <c r="B862" i="3" a="1"/>
  <c r="B1061" i="3" a="1"/>
  <c r="E413" i="3" a="1"/>
  <c r="C1180" i="3" a="1"/>
  <c r="E1067" i="3" a="1"/>
  <c r="F1218" i="3" a="1"/>
  <c r="F1213" i="3" a="1"/>
  <c r="D400" i="3" a="1"/>
  <c r="E1342" i="3" a="1"/>
  <c r="D1294" i="3" a="1"/>
  <c r="C214" i="3" a="1"/>
  <c r="E1277" i="3" a="1"/>
  <c r="B1267" i="3" a="1"/>
  <c r="E783" i="3" a="1"/>
  <c r="B333" i="3" a="1"/>
  <c r="B1189" i="3" a="1"/>
  <c r="B1014" i="3" a="1"/>
  <c r="A728" i="3" a="1"/>
  <c r="C1380" i="3" a="1"/>
  <c r="B985" i="3" a="1"/>
  <c r="F1246" i="3" a="1"/>
  <c r="C404" i="3" a="1"/>
  <c r="F405" i="3" a="1"/>
  <c r="B461" i="3" a="1"/>
  <c r="E1050" i="3" a="1"/>
  <c r="F1163" i="3" a="1"/>
  <c r="E1189" i="3" a="1"/>
  <c r="A1253" i="3" a="1"/>
  <c r="D918" i="3" a="1"/>
  <c r="F1196" i="3" a="1"/>
  <c r="B296" i="3" a="1"/>
  <c r="B225" i="3" a="1"/>
  <c r="E999" i="3" a="1"/>
  <c r="E297" i="3" a="1"/>
  <c r="F93" i="3" a="1"/>
  <c r="B796" i="3" a="1"/>
  <c r="E1175" i="3" a="1"/>
  <c r="C1341" i="3" a="1"/>
  <c r="F1398" i="3" a="1"/>
  <c r="D830" i="3" a="1"/>
  <c r="C1165" i="3" a="1"/>
  <c r="F840" i="3" a="1"/>
  <c r="C1340" i="3" a="1"/>
  <c r="D465" i="3" a="1"/>
  <c r="C1335" i="3" a="1"/>
  <c r="B1097" i="3" a="1"/>
  <c r="F1099" i="3" a="1"/>
  <c r="A965" i="3" a="1"/>
  <c r="E798" i="3" a="1"/>
  <c r="C1086" i="3" a="1"/>
  <c r="B207" i="3" a="1"/>
  <c r="B809" i="3" a="1"/>
  <c r="A356" i="3" a="1"/>
  <c r="D279" i="3" a="1"/>
  <c r="F105" i="3" a="1"/>
  <c r="D1083" i="3" a="1"/>
  <c r="A1082" i="3" a="1"/>
  <c r="C1151" i="3" a="1"/>
  <c r="E1407" i="3" a="1"/>
  <c r="B25" i="3" a="1"/>
  <c r="F1028" i="3" a="1"/>
  <c r="F1381" i="3" a="1"/>
  <c r="F997" i="3" a="1"/>
  <c r="C183" i="3" a="1"/>
  <c r="D1248" i="3" a="1"/>
  <c r="A1278" i="3" a="1"/>
  <c r="F1049" i="3" a="1"/>
  <c r="F487" i="3" a="1"/>
  <c r="D481" i="3" a="1"/>
  <c r="C1317" i="3" a="1"/>
  <c r="E1226" i="3" a="1"/>
  <c r="A1279" i="3" a="1"/>
  <c r="A883" i="3" a="1"/>
  <c r="E937" i="3" a="1"/>
  <c r="D1382" i="3" a="1"/>
  <c r="C649" i="3" a="1"/>
  <c r="D1027" i="3" a="1"/>
  <c r="F968" i="3" a="1"/>
  <c r="B887" i="3" a="1"/>
  <c r="F865" i="3" a="1"/>
  <c r="A80" i="3" a="1"/>
  <c r="A1143" i="3" a="1"/>
  <c r="E595" i="3" a="1"/>
  <c r="C1326" i="3" a="1"/>
  <c r="A1371" i="3" a="1"/>
  <c r="F1087" i="3" a="1"/>
  <c r="E1315" i="3" a="1"/>
  <c r="B435" i="3" a="1"/>
  <c r="F799" i="3" a="1"/>
  <c r="E1139" i="3" a="1"/>
  <c r="D659" i="3" a="1"/>
  <c r="C1171" i="3" a="1"/>
  <c r="E689" i="3" a="1"/>
  <c r="C757" i="3" a="1"/>
  <c r="D785" i="3" a="1"/>
  <c r="A716" i="3" a="1"/>
  <c r="F611" i="3" a="1"/>
  <c r="B1128" i="3" a="1"/>
  <c r="A979" i="3" a="1"/>
  <c r="E1288" i="3" a="1"/>
  <c r="C717" i="3" a="1"/>
  <c r="C295" i="3" a="1"/>
  <c r="E901" i="3" a="1"/>
  <c r="C819" i="3" a="1"/>
  <c r="F590" i="3" a="1"/>
  <c r="B1064" i="3" a="1"/>
  <c r="D1073" i="3" a="1"/>
  <c r="A1317" i="3" a="1"/>
  <c r="D1165" i="3" a="1"/>
  <c r="E663" i="3" a="1"/>
  <c r="F949" i="3" a="1"/>
  <c r="D1415" i="3" a="1"/>
  <c r="C539" i="3" a="1"/>
  <c r="E813" i="3" a="1"/>
  <c r="D865" i="3" a="1"/>
  <c r="B936" i="3" a="1"/>
  <c r="B208" i="3" a="1"/>
  <c r="F1032" i="3" a="1"/>
  <c r="E1411" i="3" a="1"/>
  <c r="F1130" i="3" a="1"/>
  <c r="C1043" i="3" a="1"/>
  <c r="F524" i="3" a="1"/>
  <c r="C627" i="3" a="1"/>
  <c r="B700" i="3" a="1"/>
  <c r="F886" i="3" a="1"/>
  <c r="D757" i="3" a="1"/>
  <c r="E656" i="3" a="1"/>
  <c r="F1407" i="3" a="1"/>
  <c r="A1392" i="3" a="1"/>
  <c r="E1090" i="3" a="1"/>
  <c r="E1352" i="3" a="1"/>
  <c r="A722" i="3" a="1"/>
  <c r="E670" i="3" a="1"/>
  <c r="B856" i="3" a="1"/>
  <c r="D1212" i="3" a="1"/>
  <c r="C1102" i="3" a="1"/>
  <c r="F880" i="3" a="1"/>
  <c r="B399" i="3" a="1"/>
  <c r="B815" i="3" a="1"/>
  <c r="C367" i="3" a="1"/>
  <c r="E722" i="3" a="1"/>
  <c r="F1125" i="3" a="1"/>
  <c r="F1309" i="3" a="1"/>
  <c r="F1059" i="3" a="1"/>
  <c r="E146" i="3" a="1"/>
  <c r="D740" i="3" a="1"/>
  <c r="A1313" i="3" a="1"/>
  <c r="B967" i="3" a="1"/>
  <c r="B671" i="3" a="1"/>
  <c r="E492" i="3" a="1"/>
  <c r="B1120" i="3" a="1"/>
  <c r="A370" i="3" a="1"/>
  <c r="C1172" i="3" a="1"/>
  <c r="D704" i="3" a="1"/>
  <c r="C1164" i="3" a="1"/>
  <c r="F964" i="3" a="1"/>
  <c r="A531" i="3" a="1"/>
  <c r="C926" i="3" a="1"/>
  <c r="A1189" i="3" a="1"/>
  <c r="E108" i="3" a="1"/>
  <c r="C1264" i="3" a="1"/>
  <c r="F887" i="3" a="1"/>
  <c r="D339" i="3" a="1"/>
  <c r="A220" i="3" a="1"/>
  <c r="E884" i="3" a="1"/>
  <c r="D1074" i="3" a="1"/>
  <c r="C1347" i="3" a="1"/>
  <c r="C706" i="3" a="1"/>
  <c r="D1129" i="3" a="1"/>
  <c r="A612" i="3" a="1"/>
  <c r="F454" i="3" a="1"/>
  <c r="E462" i="3" a="1"/>
  <c r="B491" i="3" a="1"/>
  <c r="B1089" i="3" a="1"/>
  <c r="A1246" i="3" a="1"/>
  <c r="A1171" i="3" a="1"/>
  <c r="C711" i="3" a="1"/>
  <c r="D1012" i="3" a="1"/>
  <c r="B993" i="3" a="1"/>
  <c r="C690" i="3" a="1"/>
  <c r="F813" i="3" a="1"/>
  <c r="F1097" i="3" a="1"/>
  <c r="A1238" i="3" a="1"/>
  <c r="E340" i="3" a="1"/>
  <c r="D528" i="3" a="1"/>
  <c r="C1059" i="3" a="1"/>
  <c r="D783" i="3" a="1"/>
  <c r="F177" i="3" a="1"/>
  <c r="C176" i="3" a="1"/>
  <c r="C808" i="3" a="1"/>
  <c r="C1357" i="3" a="1"/>
  <c r="F738" i="3" a="1"/>
  <c r="D923" i="3" a="1"/>
  <c r="F1132" i="3" a="1"/>
  <c r="C1346" i="3" a="1"/>
  <c r="B917" i="3" a="1"/>
  <c r="D515" i="3" a="1"/>
  <c r="F778" i="3" a="1"/>
  <c r="D611" i="3" a="1"/>
  <c r="A921" i="3" a="1"/>
  <c r="F1107" i="3" a="1"/>
  <c r="C1185" i="3" a="1"/>
  <c r="D1207" i="3" a="1"/>
  <c r="A1180" i="3" a="1"/>
  <c r="C298" i="3" a="1"/>
  <c r="B1095" i="3" a="1"/>
  <c r="B904" i="3" a="1"/>
  <c r="C870" i="3" a="1"/>
  <c r="F987" i="3" a="1"/>
  <c r="F706" i="3" a="1"/>
  <c r="A771" i="3" a="1"/>
  <c r="F975" i="3" a="1"/>
  <c r="C1282" i="3" a="1"/>
  <c r="E1191" i="3" a="1"/>
  <c r="C1244" i="3" a="1"/>
  <c r="B704" i="3" a="1"/>
  <c r="D910" i="3" a="1"/>
  <c r="E917" i="3" a="1"/>
  <c r="F681" i="3" a="1"/>
  <c r="B701" i="3" a="1"/>
  <c r="A899" i="3" a="1"/>
  <c r="D1226" i="3" a="1"/>
  <c r="D547" i="3" a="1"/>
  <c r="E610" i="3" a="1"/>
  <c r="E787" i="3" a="1"/>
  <c r="A940" i="3" a="1"/>
  <c r="D1405" i="3" a="1"/>
  <c r="F1194" i="3" a="1"/>
  <c r="C838" i="3" a="1"/>
  <c r="F1167" i="3" a="1"/>
  <c r="F555" i="3" a="1"/>
  <c r="A662" i="3" a="1"/>
  <c r="A1175" i="3" a="1"/>
  <c r="F1359" i="3" a="1"/>
  <c r="C619" i="3" a="1"/>
  <c r="A1092" i="3" a="1"/>
  <c r="E1020" i="3" a="1"/>
  <c r="B658" i="3" a="1"/>
  <c r="A1378" i="3" a="1"/>
  <c r="E1263" i="3" a="1"/>
  <c r="C1327" i="3" a="1"/>
  <c r="A869" i="3" a="1"/>
  <c r="A1213" i="3" a="1"/>
  <c r="A736" i="3" a="1"/>
  <c r="A223" i="3" a="1"/>
  <c r="E817" i="3" a="1"/>
  <c r="D177" i="3" a="1"/>
  <c r="D738" i="3" a="1"/>
  <c r="F707" i="3" a="1"/>
  <c r="D662" i="3" a="1"/>
  <c r="A817" i="3" a="1"/>
  <c r="E1182" i="3" a="1"/>
  <c r="A841" i="3" a="1"/>
  <c r="F1187" i="3" a="1"/>
  <c r="D913" i="3" a="1"/>
  <c r="F308" i="3" a="1"/>
  <c r="C921" i="3" a="1"/>
  <c r="D1252" i="3" a="1"/>
  <c r="B697" i="3" a="1"/>
  <c r="D966" i="3" a="1"/>
  <c r="F429" i="3" a="1"/>
  <c r="F889" i="3" a="1"/>
  <c r="C1283" i="3" a="1"/>
  <c r="B660" i="3" a="1"/>
  <c r="A1126" i="3" a="1"/>
  <c r="B734" i="3" a="1"/>
  <c r="A1354" i="3" a="1"/>
  <c r="A919" i="3" a="1"/>
  <c r="A1384" i="3" a="1"/>
  <c r="F1073" i="3" a="1"/>
  <c r="A499" i="3" a="1"/>
  <c r="B1172" i="3" a="1"/>
  <c r="B991" i="3" a="1"/>
  <c r="D214" i="3" a="1"/>
  <c r="A1074" i="3" a="1"/>
  <c r="A681" i="3" a="1"/>
  <c r="B678" i="3" a="1"/>
  <c r="B1311" i="3" a="1"/>
  <c r="A1102" i="3" a="1"/>
  <c r="A1230" i="3" a="1"/>
  <c r="F1030" i="3" a="1"/>
  <c r="C1123" i="3" a="1"/>
  <c r="D1412" i="3" a="1"/>
  <c r="D436" i="3" a="1"/>
  <c r="D912" i="3" a="1"/>
  <c r="C406" i="3" a="1"/>
  <c r="C1361" i="3" a="1"/>
  <c r="E400" i="3" a="1"/>
  <c r="B604" i="3" a="1"/>
  <c r="B688" i="3" a="1"/>
  <c r="B485" i="3" a="1"/>
  <c r="D871" i="3" a="1"/>
  <c r="F1236" i="3" a="1"/>
  <c r="B1228" i="3" a="1"/>
  <c r="A1266" i="3" a="1"/>
  <c r="D26" i="3" a="1"/>
  <c r="A1077" i="3" a="1"/>
  <c r="B682" i="3" a="1"/>
  <c r="D1119" i="3" a="1"/>
  <c r="E923" i="3" a="1"/>
  <c r="F459" i="3" a="1"/>
  <c r="E1232" i="3" a="1"/>
  <c r="A938" i="3" a="1"/>
  <c r="B1190" i="3" a="1"/>
  <c r="E1144" i="3" a="1"/>
  <c r="E965" i="3" a="1"/>
  <c r="F904" i="3" a="1"/>
  <c r="A36" i="3" a="1"/>
  <c r="B813" i="3" a="1"/>
  <c r="B1336" i="3" a="1"/>
  <c r="A1424" i="3" a="1"/>
  <c r="D1286" i="3" a="1"/>
  <c r="F1410" i="3" a="1"/>
  <c r="F1026" i="3" a="1"/>
  <c r="F1314" i="3" a="1"/>
  <c r="B834" i="3" a="1"/>
  <c r="D624" i="3" a="1"/>
  <c r="A1116" i="3" a="1"/>
  <c r="B1114" i="3" a="1"/>
  <c r="A624" i="3" a="1"/>
  <c r="A892" i="3" a="1"/>
  <c r="F1023" i="3" a="1"/>
  <c r="A432" i="3" a="1"/>
  <c r="E1270" i="3" a="1"/>
  <c r="A735" i="3" a="1"/>
  <c r="F828" i="3" a="1"/>
  <c r="B644" i="3" a="1"/>
  <c r="B984" i="3" a="1"/>
  <c r="A1290" i="3" a="1"/>
  <c r="E915" i="3" a="1"/>
  <c r="C1027" i="3" a="1"/>
  <c r="C740" i="3" a="1"/>
  <c r="D938" i="3" a="1"/>
  <c r="F237" i="3" a="1"/>
  <c r="C663" i="3" a="1"/>
  <c r="A1276" i="3" a="1"/>
  <c r="E627" i="3" a="1"/>
  <c r="C602" i="3" a="1"/>
  <c r="A1178" i="3" a="1"/>
  <c r="D1374" i="3" a="1"/>
  <c r="D1339" i="3" a="1"/>
  <c r="E907" i="3" a="1"/>
  <c r="A880" i="3" a="1"/>
  <c r="D848" i="3" a="1"/>
  <c r="B1365" i="3" a="1"/>
  <c r="C478" i="3" a="1"/>
  <c r="C1178" i="3" a="1"/>
  <c r="B1148" i="3" a="1"/>
  <c r="B263" i="3" a="1"/>
  <c r="B676" i="3" a="1"/>
  <c r="E738" i="3" a="1"/>
  <c r="B1083" i="3" a="1"/>
  <c r="F735" i="3" a="1"/>
  <c r="A1268" i="3" a="1"/>
  <c r="E417" i="3" a="1"/>
  <c r="D1262" i="3" a="1"/>
  <c r="D955" i="3" a="1"/>
  <c r="C647" i="3" a="1"/>
  <c r="E857" i="3" a="1"/>
  <c r="E1230" i="3" a="1"/>
  <c r="D1115" i="3" a="1"/>
  <c r="E922" i="3" a="1"/>
  <c r="B163" i="3" a="1"/>
  <c r="D1030" i="3" a="1"/>
  <c r="B45" i="3" a="1"/>
  <c r="D1179" i="3" a="1"/>
  <c r="E1295" i="3" a="1"/>
  <c r="C613" i="3" a="1"/>
  <c r="E399" i="3" a="1"/>
  <c r="B589" i="3" a="1"/>
  <c r="A538" i="3" a="1"/>
  <c r="D1307" i="3" a="1"/>
  <c r="D1369" i="3" a="1"/>
  <c r="B1225" i="3" a="1"/>
  <c r="E459" i="3" a="1"/>
  <c r="F1009" i="3" a="1"/>
  <c r="C948" i="3" a="1"/>
  <c r="D684" i="3" a="1"/>
  <c r="D821" i="3" a="1"/>
  <c r="A1372" i="3" a="1"/>
  <c r="F206" i="3" a="1"/>
  <c r="B1162" i="3" a="1"/>
  <c r="B1046" i="3" a="1"/>
  <c r="E747" i="3" a="1"/>
  <c r="B109" i="3" a="1"/>
  <c r="E202" i="3" a="1"/>
  <c r="A1027" i="3" a="1"/>
  <c r="B1364" i="3" a="1"/>
  <c r="B1422" i="3" a="1"/>
  <c r="C788" i="3" a="1"/>
  <c r="E1326" i="3" a="1"/>
  <c r="D1390" i="3" a="1"/>
  <c r="F1286" i="3" a="1"/>
  <c r="C923" i="3" a="1"/>
  <c r="B648" i="3" a="1"/>
  <c r="E200" i="3" a="1"/>
  <c r="A1035" i="3" a="1"/>
  <c r="F176" i="3" a="1"/>
  <c r="B168" i="3" a="1"/>
  <c r="E814" i="3" a="1"/>
  <c r="E873" i="3" a="1"/>
  <c r="B297" i="3" a="1"/>
  <c r="F584" i="3" a="1"/>
  <c r="A1220" i="3" a="1"/>
  <c r="F927" i="3" a="1"/>
  <c r="E908" i="3" a="1"/>
  <c r="B1348" i="3" a="1"/>
  <c r="E89" i="3" a="1"/>
  <c r="B1409" i="3" a="1"/>
  <c r="B864" i="3" a="1"/>
  <c r="E505" i="3" a="1"/>
  <c r="F1254" i="3" a="1"/>
  <c r="F540" i="3" a="1"/>
  <c r="A1393" i="3" a="1"/>
  <c r="C1206" i="3" a="1"/>
  <c r="C646" i="3" a="1"/>
  <c r="B946" i="3" a="1"/>
  <c r="C1334" i="3" a="1"/>
  <c r="C1407" i="3" a="1"/>
  <c r="D179" i="3" a="1"/>
  <c r="D679" i="3" a="1"/>
  <c r="F535" i="3" a="1"/>
  <c r="A1227" i="3" a="1"/>
  <c r="F1425" i="3" a="1"/>
  <c r="B1315" i="3" a="1"/>
  <c r="D1136" i="3" a="1"/>
  <c r="F1198" i="3" a="1"/>
  <c r="D1079" i="3" a="1"/>
  <c r="C592" i="3" a="1"/>
  <c r="D593" i="3" a="1"/>
  <c r="F815" i="3" a="1"/>
  <c r="A1183" i="3" a="1"/>
  <c r="D971" i="3" a="1"/>
  <c r="F448" i="3" a="1"/>
  <c r="F848" i="3" a="1"/>
  <c r="A380" i="3" a="1"/>
  <c r="D470" i="3" a="1"/>
  <c r="C418" i="3" a="1"/>
  <c r="D1380" i="3" a="1"/>
  <c r="E1096" i="3" a="1"/>
  <c r="D1084" i="3" a="1"/>
  <c r="E143" i="3" a="1"/>
  <c r="E1236" i="3" a="1"/>
  <c r="A1374" i="3" a="1"/>
  <c r="A143" i="3" a="1"/>
  <c r="A1112" i="3" a="1"/>
  <c r="E1380" i="3" a="1"/>
  <c r="C1127" i="3" a="1"/>
  <c r="B1066" i="3" a="1"/>
  <c r="F856" i="3" a="1"/>
  <c r="C1265" i="3" a="1"/>
  <c r="B1055" i="3" a="1"/>
  <c r="B360" i="3" a="1"/>
  <c r="F1221" i="3" a="1"/>
  <c r="F852" i="3" a="1"/>
  <c r="E1063" i="3" a="1"/>
  <c r="A1382" i="3" a="1"/>
  <c r="F416" i="3" a="1"/>
  <c r="D1398" i="3" a="1"/>
  <c r="C518" i="3" a="1"/>
  <c r="E1019" i="3" a="1"/>
  <c r="F625" i="3" a="1"/>
  <c r="A840" i="3" a="1"/>
  <c r="C1355" i="3" a="1"/>
  <c r="C1289" i="3" a="1"/>
  <c r="E912" i="3" a="1"/>
  <c r="D640" i="3" a="1"/>
  <c r="E583" i="3" a="1"/>
  <c r="A1194" i="3" a="1"/>
  <c r="F1070" i="3" a="1"/>
  <c r="A1345" i="3" a="1"/>
  <c r="D1088" i="3" a="1"/>
  <c r="D1107" i="3" a="1"/>
  <c r="C1351" i="3" a="1"/>
  <c r="F1222" i="3" a="1"/>
  <c r="B573" i="3" a="1"/>
  <c r="B1031" i="3" a="1"/>
  <c r="D917" i="3" a="1"/>
  <c r="B848" i="3" a="1"/>
  <c r="A1009" i="3" a="1"/>
  <c r="E1239" i="3" a="1"/>
  <c r="E1069" i="3" a="1"/>
  <c r="D405" i="3" a="1"/>
  <c r="E639" i="3" a="1"/>
  <c r="B839" i="3" a="1"/>
  <c r="C1325" i="3" a="1"/>
  <c r="A998" i="3" a="1"/>
  <c r="C246" i="3" a="1"/>
  <c r="D1332" i="3" a="1"/>
  <c r="B858" i="3" a="1"/>
  <c r="C1209" i="3" a="1"/>
  <c r="C365" i="3" a="1"/>
  <c r="F387" i="3" a="1"/>
  <c r="C1128" i="3" a="1"/>
  <c r="F1315" i="3" a="1"/>
  <c r="C514" i="3" a="1"/>
  <c r="A608" i="3" a="1"/>
  <c r="D385" i="3" a="1"/>
  <c r="A1260" i="3" a="1"/>
  <c r="E605" i="3" a="1"/>
  <c r="A847" i="3" a="1"/>
  <c r="D703" i="3" a="1"/>
  <c r="C1116" i="3" a="1"/>
  <c r="E997" i="3" a="1"/>
  <c r="C720" i="3" a="1"/>
  <c r="B1302" i="3" a="1"/>
  <c r="E1225" i="3" a="1"/>
  <c r="B537" i="3" a="1"/>
  <c r="E580" i="3" a="1"/>
  <c r="D827" i="3" a="1"/>
  <c r="C882" i="3" a="1"/>
  <c r="B402" i="3" a="1"/>
  <c r="A700" i="3" a="1"/>
  <c r="B696" i="3" a="1"/>
  <c r="E933" i="3" a="1"/>
  <c r="A1306" i="3" a="1"/>
  <c r="B920" i="3" a="1"/>
  <c r="C1011" i="3" a="1"/>
  <c r="B1377" i="3" a="1"/>
  <c r="D507" i="3" a="1"/>
  <c r="E1101" i="3" a="1"/>
  <c r="B1395" i="3" a="1"/>
  <c r="D716" i="3" a="1"/>
  <c r="B722" i="3" a="1"/>
  <c r="B870" i="3" a="1"/>
  <c r="E1252" i="3" a="1"/>
  <c r="C904" i="3" a="1"/>
  <c r="A727" i="3" a="1"/>
  <c r="B1324" i="3" a="1"/>
  <c r="C1272" i="3" a="1"/>
  <c r="B1121" i="3" a="1"/>
  <c r="E662" i="3" a="1"/>
  <c r="B238" i="3" a="1"/>
  <c r="D1345" i="3" a="1"/>
  <c r="B934" i="3" a="1"/>
  <c r="E1131" i="3" a="1"/>
  <c r="F1037" i="3" a="1"/>
  <c r="A1405" i="3" a="1"/>
  <c r="B1307" i="3" a="1"/>
  <c r="C1421" i="3" a="1"/>
  <c r="C449" i="3" a="1"/>
  <c r="A866" i="3" a="1"/>
  <c r="D625" i="3" a="1"/>
  <c r="D511" i="3" a="1"/>
  <c r="C1041" i="3" a="1"/>
  <c r="E1135" i="3" a="1"/>
  <c r="E713" i="3" a="1"/>
  <c r="A962" i="3" a="1"/>
  <c r="F1355" i="3" a="1"/>
  <c r="F805" i="3" a="1"/>
  <c r="D1041" i="3" a="1"/>
  <c r="F1141" i="3" a="1"/>
  <c r="E423" i="3" a="1"/>
  <c r="A1210" i="3" a="1"/>
  <c r="B1337" i="3" a="1"/>
  <c r="D1291" i="3" a="1"/>
  <c r="E893" i="3" a="1"/>
  <c r="B998" i="3" a="1"/>
  <c r="C710" i="3" a="1"/>
  <c r="F616" i="3" a="1"/>
  <c r="F1239" i="3" a="1"/>
  <c r="A646" i="3" a="1"/>
  <c r="B205" i="3" a="1"/>
  <c r="A1295" i="3" a="1"/>
  <c r="E949" i="3" a="1"/>
  <c r="B1191" i="3" a="1"/>
  <c r="D974" i="3" a="1"/>
  <c r="E1058" i="3" a="1"/>
  <c r="F766" i="3" a="1"/>
  <c r="A98" i="3" a="1"/>
  <c r="C1098" i="3" a="1"/>
  <c r="F896" i="3" a="1"/>
  <c r="C1395" i="3" a="1"/>
  <c r="F310" i="3" a="1"/>
  <c r="F1135" i="3" a="1"/>
  <c r="B1173" i="3" a="1"/>
  <c r="E994" i="3" a="1"/>
  <c r="B1085" i="3" a="1"/>
  <c r="A583" i="3" a="1"/>
  <c r="F1108" i="3" a="1"/>
  <c r="B17" i="3" a="1"/>
  <c r="E1299" i="3" a="1"/>
  <c r="D1287" i="3" a="1"/>
  <c r="E410" i="3" a="1"/>
  <c r="D965" i="3" a="1"/>
  <c r="F604" i="3" a="1"/>
  <c r="C970" i="3" a="1"/>
  <c r="C1254" i="3" a="1"/>
  <c r="B1354" i="3" a="1"/>
  <c r="D1017" i="3" a="1"/>
  <c r="B137" i="3" a="1"/>
  <c r="E1057" i="3" a="1"/>
  <c r="F1401" i="3" a="1"/>
  <c r="E1124" i="3" a="1"/>
  <c r="A1028" i="3" a="1"/>
  <c r="E1234" i="3" a="1"/>
  <c r="C835" i="3" a="1"/>
  <c r="D1225" i="3" a="1"/>
  <c r="B1417" i="3" a="1"/>
  <c r="F632" i="3" a="1"/>
  <c r="F833" i="3" a="1"/>
  <c r="A561" i="3" a="1"/>
  <c r="A521" i="3" a="1"/>
  <c r="D1258" i="3" a="1"/>
  <c r="D797" i="3" a="1"/>
  <c r="F1004" i="3" a="1"/>
  <c r="A602" i="3" a="1"/>
  <c r="F784" i="3" a="1"/>
  <c r="E1024" i="3" a="1"/>
  <c r="B1318" i="3" a="1"/>
  <c r="C786" i="3" a="1"/>
  <c r="A1086" i="3" a="1"/>
  <c r="C841" i="3" a="1"/>
  <c r="B955" i="3" a="1"/>
  <c r="F1326" i="3" a="1"/>
  <c r="D260" i="3" a="1"/>
  <c r="C244" i="3" a="1"/>
  <c r="A437" i="3" a="1"/>
  <c r="E985" i="3" a="1"/>
  <c r="E684" i="3" a="1"/>
  <c r="E563" i="3" a="1"/>
  <c r="D957" i="3" a="1"/>
  <c r="C1065" i="3" a="1"/>
  <c r="C820" i="3" a="1"/>
  <c r="B1132" i="3" a="1"/>
  <c r="A335" i="3" a="1"/>
  <c r="A58" i="3" a="1"/>
  <c r="A558" i="3" a="1"/>
  <c r="C562" i="3" a="1"/>
  <c r="E1219" i="3" a="1"/>
  <c r="E1399" i="3" a="1"/>
  <c r="F883" i="3" a="1"/>
  <c r="C481" i="3" a="1"/>
  <c r="E932" i="3" a="1"/>
  <c r="E1136" i="3" a="1"/>
  <c r="F339" i="3" a="1"/>
  <c r="F1399" i="3" a="1"/>
  <c r="A1145" i="3" a="1"/>
  <c r="B798" i="3" a="1"/>
  <c r="C1238" i="3" a="1"/>
  <c r="D997" i="3" a="1"/>
  <c r="C871" i="3" a="1"/>
  <c r="D898" i="3" a="1"/>
  <c r="E513" i="3" a="1"/>
  <c r="D1157" i="3" a="1"/>
  <c r="F1330" i="3" a="1"/>
  <c r="D1006" i="3" a="1"/>
  <c r="C724" i="3" a="1"/>
  <c r="A1150" i="3" a="1"/>
  <c r="B541" i="3" a="1"/>
  <c r="C996" i="3" a="1"/>
  <c r="C944" i="3" a="1"/>
  <c r="F341" i="3" a="1"/>
  <c r="E1309" i="3" a="1"/>
  <c r="B535" i="3" a="1"/>
  <c r="F740" i="3" a="1"/>
  <c r="A448" i="3" a="1"/>
  <c r="B1424" i="3" a="1"/>
  <c r="F912" i="3" a="1"/>
  <c r="F995" i="3" a="1"/>
  <c r="C932" i="3" a="1"/>
  <c r="F1170" i="3" a="1"/>
  <c r="D505" i="3" a="1"/>
  <c r="E661" i="3" a="1"/>
  <c r="C597" i="3" a="1"/>
  <c r="E909" i="3" a="1"/>
  <c r="A1207" i="3" a="1"/>
  <c r="E1298" i="3" a="1"/>
  <c r="B953" i="3" a="1"/>
  <c r="F860" i="3" a="1"/>
  <c r="D447" i="3" a="1"/>
  <c r="C945" i="3" a="1"/>
  <c r="D1267" i="3" a="1"/>
  <c r="E1028" i="3" a="1"/>
  <c r="F937" i="3" a="1"/>
  <c r="E1390" i="3" a="1"/>
  <c r="C607" i="3" a="1"/>
  <c r="C770" i="3" a="1"/>
  <c r="E1183" i="3" a="1"/>
  <c r="D626" i="3" a="1"/>
  <c r="E1346" i="3" a="1"/>
  <c r="C1145" i="3" a="1"/>
  <c r="A654" i="3" a="1"/>
  <c r="D116" i="3" a="1"/>
  <c r="F773" i="3" a="1"/>
  <c r="D711" i="3" a="1"/>
  <c r="D1279" i="3" a="1"/>
  <c r="D1391" i="3" a="1"/>
  <c r="F906" i="3" a="1"/>
  <c r="A399" i="3" a="1"/>
  <c r="B665" i="3" a="1"/>
  <c r="E947" i="3" a="1"/>
  <c r="F324" i="3" a="1"/>
  <c r="F1019" i="3" a="1"/>
  <c r="F389" i="3" a="1"/>
  <c r="B685" i="3" a="1"/>
  <c r="F1071" i="3" a="1"/>
  <c r="B1362" i="3" a="1"/>
  <c r="E1355" i="3" a="1"/>
  <c r="B1052" i="3" a="1"/>
  <c r="E1113" i="3" a="1"/>
  <c r="F641" i="3" a="1"/>
  <c r="D987" i="3" a="1"/>
  <c r="B721" i="3" a="1"/>
  <c r="E929" i="3" a="1"/>
  <c r="B1390" i="3" a="1"/>
  <c r="A670" i="3" a="1"/>
  <c r="A694" i="3" a="1"/>
  <c r="C1037" i="3" a="1"/>
  <c r="A1232" i="3" a="1"/>
  <c r="E579" i="3" a="1"/>
  <c r="C1360" i="3" a="1"/>
  <c r="B865" i="3" a="1"/>
  <c r="D1181" i="3" a="1"/>
  <c r="A775" i="3" a="1"/>
  <c r="D690" i="3" a="1"/>
  <c r="E1417" i="3" a="1"/>
  <c r="E913" i="3" a="1"/>
  <c r="C676" i="3" a="1"/>
  <c r="D1148" i="3" a="1"/>
  <c r="B1057" i="3" a="1"/>
  <c r="A300" i="3" a="1"/>
  <c r="B1105" i="3" a="1"/>
  <c r="C181" i="3" a="1"/>
  <c r="D1296" i="3" a="1"/>
  <c r="D148" i="3" a="1"/>
  <c r="D619" i="3" a="1"/>
  <c r="C898" i="3" a="1"/>
  <c r="C1286" i="3" a="1"/>
  <c r="F913" i="3" a="1"/>
  <c r="C1182" i="3" a="1"/>
  <c r="E1128" i="3" a="1"/>
  <c r="C1159" i="3" a="1"/>
  <c r="F498" i="3" a="1"/>
  <c r="F612" i="3" a="1"/>
  <c r="F1202" i="3" a="1"/>
  <c r="B1062" i="3" a="1"/>
  <c r="F825" i="3" a="1"/>
  <c r="C134" i="3" a="1"/>
  <c r="B1216" i="3" a="1"/>
  <c r="A747" i="3" a="1"/>
  <c r="B947" i="3" a="1"/>
  <c r="D1408" i="3" a="1"/>
  <c r="E1130" i="3" a="1"/>
  <c r="E753" i="3" a="1"/>
  <c r="C606" i="3" a="1"/>
  <c r="F948" i="3" a="1"/>
  <c r="B1157" i="3" a="1"/>
  <c r="B570" i="3" a="1"/>
  <c r="C1138" i="3" a="1"/>
  <c r="E728" i="3" a="1"/>
  <c r="C861" i="3" a="1"/>
  <c r="C1389" i="3" a="1"/>
  <c r="F1319" i="3" a="1"/>
  <c r="E1168" i="3" a="1"/>
  <c r="A745" i="3" a="1"/>
  <c r="F737" i="3" a="1"/>
  <c r="C1315" i="3" a="1"/>
  <c r="B1290" i="3" a="1"/>
  <c r="F1378" i="3" a="1"/>
  <c r="F1076" i="3" a="1"/>
  <c r="A1369" i="3" a="1"/>
  <c r="B1268" i="3" a="1"/>
  <c r="B533" i="3" a="1"/>
  <c r="F729" i="3" a="1"/>
  <c r="A621" i="3" a="1"/>
  <c r="C1277" i="3" a="1"/>
  <c r="F772" i="3" a="1"/>
  <c r="E1015" i="3" a="1"/>
  <c r="E1272" i="3" a="1"/>
  <c r="D1235" i="3" a="1"/>
  <c r="A198" i="3" a="1"/>
  <c r="B88" i="3" a="1"/>
  <c r="C1020" i="3" a="1"/>
  <c r="B889" i="3" a="1"/>
  <c r="D128" i="3" a="1"/>
  <c r="A1063" i="3" a="1"/>
  <c r="B1106" i="3" a="1"/>
  <c r="E694" i="3" a="1"/>
  <c r="C683" i="3" a="1"/>
  <c r="C1028" i="3" a="1"/>
  <c r="D394" i="3" a="1"/>
  <c r="B732" i="3" a="1"/>
  <c r="E198" i="3" a="1"/>
  <c r="A524" i="3" a="1"/>
  <c r="A1155" i="3" a="1"/>
  <c r="B1056" i="3" a="1"/>
  <c r="C1095" i="3" a="1"/>
  <c r="D1244" i="3" a="1"/>
  <c r="B593" i="3" a="1"/>
  <c r="C64" i="3" a="1"/>
  <c r="E1227" i="3" a="1"/>
  <c r="D357" i="3" a="1"/>
  <c r="D489" i="3" a="1"/>
  <c r="D713" i="3" a="1"/>
  <c r="D478" i="3" a="1"/>
  <c r="D1123" i="3" a="1"/>
  <c r="D1166" i="3" a="1"/>
  <c r="C1226" i="3" a="1"/>
  <c r="A595" i="3" a="1"/>
  <c r="C1183" i="3" a="1"/>
  <c r="E955" i="3" a="1"/>
  <c r="F1336" i="3" a="1"/>
  <c r="B1141" i="3" a="1"/>
  <c r="C1256" i="3" a="1"/>
  <c r="A1130" i="3" a="1"/>
  <c r="E1402" i="3" a="1"/>
  <c r="F1061" i="3" a="1"/>
  <c r="E1091" i="3" a="1"/>
  <c r="F596" i="3" a="1"/>
  <c r="D979" i="3" a="1"/>
  <c r="C1284" i="3" a="1"/>
  <c r="E577" i="3" a="1"/>
  <c r="B765" i="3" a="1"/>
  <c r="E1356" i="3" a="1"/>
  <c r="F935" i="3" a="1"/>
  <c r="A684" i="3" a="1"/>
  <c r="E537" i="3" a="1"/>
  <c r="E673" i="3" a="1"/>
  <c r="E1085" i="3" a="1"/>
  <c r="C1403" i="3" a="1"/>
  <c r="D634" i="3" a="1"/>
  <c r="F930" i="3" a="1"/>
  <c r="D908" i="3" a="1"/>
  <c r="B895" i="3" a="1"/>
  <c r="A1118" i="3" a="1"/>
  <c r="F1118" i="3" a="1"/>
  <c r="C902" i="3" a="1"/>
  <c r="B615" i="3" a="1"/>
  <c r="A1316" i="3" a="1"/>
  <c r="F687" i="3" a="1"/>
  <c r="B1194" i="3" a="1"/>
  <c r="D1349" i="3" a="1"/>
  <c r="F850" i="3" a="1"/>
  <c r="D1066" i="3" a="1"/>
  <c r="C1026" i="3" a="1"/>
  <c r="C669" i="3" a="1"/>
  <c r="F1100" i="3" a="1"/>
  <c r="C1046" i="3" a="1"/>
  <c r="C1406" i="3" a="1"/>
  <c r="E1311" i="3" a="1"/>
  <c r="F1105" i="3" a="1"/>
  <c r="A1066" i="3" a="1"/>
  <c r="A861" i="3" a="1"/>
  <c r="C791" i="3" a="1"/>
  <c r="C1215" i="3" a="1"/>
  <c r="C1115" i="3" a="1"/>
  <c r="E983" i="3" a="1"/>
  <c r="D248" i="3" a="1"/>
  <c r="E696" i="3" a="1"/>
  <c r="F1380" i="3" a="1"/>
  <c r="C623" i="3" a="1"/>
  <c r="A1357" i="3" a="1"/>
  <c r="E963" i="3" a="1"/>
  <c r="F350" i="3" a="1"/>
  <c r="A204" i="3" a="1"/>
  <c r="B1353" i="3" a="1"/>
  <c r="E1302" i="3" a="1"/>
  <c r="D1255" i="3" a="1"/>
  <c r="A572" i="3" a="1"/>
  <c r="B498" i="3" a="1"/>
  <c r="A1149" i="3" a="1"/>
  <c r="E1354" i="3" a="1"/>
  <c r="E883" i="3" a="1"/>
  <c r="C1022" i="3" a="1"/>
  <c r="D1276" i="3" a="1"/>
  <c r="E808" i="3" a="1"/>
  <c r="A434" i="3" a="1"/>
  <c r="A1013" i="3" a="1"/>
  <c r="B792" i="3" a="1"/>
  <c r="A712" i="3" a="1"/>
  <c r="E1146" i="3" a="1"/>
  <c r="D1375" i="3" a="1"/>
  <c r="D1350" i="3" a="1"/>
  <c r="E782" i="3" a="1"/>
  <c r="F8" i="3" a="1"/>
  <c r="A323" i="3" a="1"/>
  <c r="C1225" i="3" a="1"/>
  <c r="F1231" i="3" a="1"/>
  <c r="A634" i="3" a="1"/>
  <c r="B820" i="3" a="1"/>
  <c r="F690" i="3" a="1"/>
  <c r="C1113" i="3" a="1"/>
  <c r="A598" i="3" a="1"/>
  <c r="C494" i="3" a="1"/>
  <c r="F985" i="3" a="1"/>
  <c r="B1018" i="3" a="1"/>
  <c r="C1013" i="3" a="1"/>
  <c r="A1347" i="3" a="1"/>
  <c r="F959" i="3" a="1"/>
  <c r="F881" i="3" a="1"/>
  <c r="D644" i="3" a="1"/>
  <c r="E1187" i="3" a="1"/>
  <c r="B1322" i="3" a="1"/>
  <c r="D621" i="3" a="1"/>
  <c r="C1316" i="3" a="1"/>
  <c r="A903" i="3" a="1"/>
  <c r="A749" i="3" a="1"/>
  <c r="D362" i="3" a="1"/>
  <c r="B633" i="3" a="1"/>
  <c r="D733" i="3" a="1"/>
  <c r="D984" i="3" a="1"/>
  <c r="B855" i="3" a="1"/>
  <c r="C1249" i="3" a="1"/>
  <c r="D1156" i="3" a="1"/>
  <c r="A331" i="3" a="1"/>
  <c r="F81" i="3" a="1"/>
  <c r="A1332" i="3" a="1"/>
  <c r="C557" i="3" a="1"/>
  <c r="F1272" i="3" a="1"/>
  <c r="F1134" i="3" a="1"/>
  <c r="F552" i="3" a="1"/>
  <c r="B687" i="3" a="1"/>
  <c r="F1129" i="3" a="1"/>
  <c r="B583" i="3" a="1"/>
  <c r="E1199" i="3" a="1"/>
  <c r="D1078" i="3" a="1"/>
  <c r="C45" i="3" a="1"/>
  <c r="A1158" i="3" a="1"/>
  <c r="D1363" i="3" a="1"/>
  <c r="E881" i="3" a="1"/>
  <c r="D1169" i="3" a="1"/>
  <c r="A1094" i="3" a="1"/>
  <c r="B1421" i="3" a="1"/>
  <c r="D867" i="3" a="1"/>
  <c r="D374" i="3" a="1"/>
  <c r="F1397" i="3" a="1"/>
  <c r="C1259" i="3" a="1"/>
  <c r="D682" i="3" a="1"/>
  <c r="D399" i="3" a="1"/>
  <c r="C1295" i="3" a="1"/>
  <c r="A744" i="3" a="1"/>
  <c r="C685" i="3" a="1"/>
  <c r="C1353" i="3" a="1"/>
  <c r="D1206" i="3" a="1"/>
  <c r="C805" i="3" a="1"/>
  <c r="F929" i="3" a="1"/>
  <c r="F1276" i="3" a="1"/>
  <c r="E811" i="3" a="1"/>
  <c r="D1085" i="3" a="1"/>
  <c r="A776" i="3" a="1"/>
  <c r="F714" i="3" a="1"/>
  <c r="E1363" i="3" a="1"/>
  <c r="F1418" i="3" a="1"/>
  <c r="C960" i="3" a="1"/>
  <c r="C1156" i="3" a="1"/>
  <c r="C1253" i="3" a="1"/>
  <c r="A355" i="3" a="1"/>
  <c r="E1246" i="3" a="1"/>
  <c r="E976" i="3" a="1"/>
  <c r="E1102" i="3" a="1"/>
  <c r="D1367" i="3" a="1"/>
  <c r="B675" i="3" a="1"/>
  <c r="D1402" i="3" a="1"/>
  <c r="F1174" i="3" a="1"/>
  <c r="F744" i="3" a="1"/>
  <c r="F1226" i="3" a="1"/>
  <c r="E1119" i="3" a="1"/>
  <c r="A1401" i="3" a="1"/>
  <c r="D889" i="3" a="1"/>
  <c r="F1294" i="3" a="1"/>
  <c r="C1204" i="3" a="1"/>
  <c r="A1346" i="3" a="1"/>
  <c r="E1167" i="3" a="1"/>
  <c r="F1020" i="3" a="1"/>
  <c r="A1269" i="3" a="1"/>
  <c r="A1252" i="3" a="1"/>
  <c r="E960" i="3" a="1"/>
  <c r="C949" i="3" a="1"/>
  <c r="E945" i="3" a="1"/>
  <c r="D1191" i="3" a="1"/>
  <c r="D1151" i="3" a="1"/>
  <c r="B818" i="3" a="1"/>
  <c r="C884" i="3" a="1"/>
  <c r="D466" i="3" a="1"/>
  <c r="D1150" i="3" a="1"/>
  <c r="A1212" i="3" a="1"/>
  <c r="D1110" i="3" a="1"/>
  <c r="F796" i="3" a="1"/>
  <c r="F971" i="3" a="1"/>
  <c r="E1062" i="3" a="1"/>
  <c r="F592" i="3" a="1"/>
  <c r="C744" i="3" a="1"/>
  <c r="E1317" i="3" a="1"/>
  <c r="E1319" i="3" a="1"/>
  <c r="D485" i="3" a="1"/>
  <c r="D992" i="3" a="1"/>
  <c r="C930" i="3" a="1"/>
  <c r="B759" i="3" a="1"/>
  <c r="F398" i="3" a="1"/>
  <c r="D737" i="3" a="1"/>
  <c r="A279" i="3" a="1"/>
  <c r="F1283" i="3" a="1"/>
  <c r="F1058" i="3" a="1"/>
  <c r="F1361" i="3" a="1"/>
  <c r="F924" i="3" a="1"/>
  <c r="D1360" i="3" a="1"/>
  <c r="B201" i="3" a="1"/>
  <c r="F1382" i="3" a="1"/>
  <c r="A833" i="3" a="1"/>
  <c r="D934" i="3" a="1"/>
  <c r="F224" i="3" a="1"/>
  <c r="B906" i="3" a="1"/>
  <c r="C1173" i="3" a="1"/>
  <c r="A186" i="3" a="1"/>
  <c r="E1104" i="3" a="1"/>
  <c r="F1245" i="3" a="1"/>
  <c r="F806" i="3" a="1"/>
  <c r="B1199" i="3" a="1"/>
  <c r="C1412" i="3" a="1"/>
  <c r="B646" i="3" a="1"/>
  <c r="D1396" i="3" a="1"/>
  <c r="D888" i="3" a="1"/>
  <c r="D770" i="3" a="1"/>
  <c r="B916" i="3" a="1"/>
  <c r="C1413" i="3" a="1"/>
  <c r="A819" i="3" a="1"/>
  <c r="C1097" i="3" a="1"/>
  <c r="C1293" i="3" a="1"/>
  <c r="F785" i="3" a="1"/>
  <c r="B344" i="3" a="1"/>
  <c r="E380" i="3" a="1"/>
  <c r="C456" i="3" a="1"/>
  <c r="E861" i="3" a="1"/>
  <c r="F990" i="3" a="1"/>
  <c r="A354" i="3" a="1"/>
  <c r="C889" i="3" a="1"/>
  <c r="B1238" i="3" a="1"/>
  <c r="C252" i="3" a="1"/>
  <c r="B694" i="3" a="1"/>
  <c r="E1305" i="3" a="1"/>
  <c r="D1377" i="3" a="1"/>
  <c r="D1379" i="3" a="1"/>
  <c r="C1267" i="3" a="1"/>
  <c r="A1274" i="3" a="1"/>
  <c r="F1342" i="3" a="1"/>
  <c r="F1092" i="3" a="1"/>
  <c r="F516" i="3" a="1"/>
  <c r="D1323" i="3" a="1"/>
  <c r="B1309" i="3" a="1"/>
  <c r="C802" i="3" a="1"/>
  <c r="B1406" i="3" a="1"/>
  <c r="B871" i="3" a="1"/>
  <c r="B99" i="3" a="1"/>
  <c r="E1051" i="3" a="1"/>
  <c r="E1379" i="3" a="1"/>
  <c r="C764" i="3" a="1"/>
  <c r="E1200" i="3" a="1"/>
  <c r="D636" i="3" a="1"/>
  <c r="D1160" i="3" a="1"/>
  <c r="C1130" i="3" a="1"/>
  <c r="D1201" i="3" a="1"/>
  <c r="F1238" i="3" a="1"/>
  <c r="E1122" i="3" a="1"/>
  <c r="B846" i="3" a="1"/>
  <c r="B1401" i="3" a="1"/>
  <c r="C1240" i="3" a="1"/>
  <c r="A1080" i="3" a="1"/>
  <c r="E1400" i="3" a="1"/>
  <c r="A567" i="3" a="1"/>
  <c r="B554" i="3" a="1"/>
  <c r="D1223" i="3" a="1"/>
  <c r="C1342" i="3" a="1"/>
  <c r="A846" i="3" a="1"/>
  <c r="B1044" i="3" a="1"/>
  <c r="D540" i="3" a="1"/>
  <c r="D509" i="3" a="1"/>
  <c r="A1154" i="3" a="1"/>
  <c r="A783" i="3" a="1"/>
  <c r="C1075" i="3" a="1"/>
  <c r="C1308" i="3" a="1"/>
  <c r="E483" i="3" a="1"/>
  <c r="D671" i="3" a="1"/>
  <c r="B234" i="3" a="1"/>
  <c r="A1083" i="3" a="1"/>
  <c r="D1232" i="3" a="1"/>
  <c r="C184" i="3" a="1"/>
  <c r="B1393" i="3" a="1"/>
  <c r="C1030" i="3" a="1"/>
  <c r="E1018" i="3" a="1"/>
  <c r="C614" i="3" a="1"/>
  <c r="D504" i="3" a="1"/>
  <c r="A761" i="3" a="1"/>
  <c r="E407" i="3" a="1"/>
  <c r="C1033" i="3" a="1"/>
  <c r="D599" i="3" a="1"/>
  <c r="E1192" i="3" a="1"/>
  <c r="A1259" i="3" a="1"/>
  <c r="C1038" i="3" a="1"/>
  <c r="F1147" i="3" a="1"/>
  <c r="A1324" i="3" a="1"/>
  <c r="A738" i="3" a="1"/>
  <c r="D1070" i="3" a="1"/>
  <c r="A576" i="3" a="1"/>
  <c r="A805" i="3" a="1"/>
  <c r="D456" i="3" a="1"/>
  <c r="A507" i="3" a="1"/>
  <c r="D1340" i="3" a="1"/>
  <c r="F892" i="3" a="1"/>
  <c r="C1004" i="3" a="1"/>
  <c r="C933" i="3" a="1"/>
  <c r="C1396" i="3" a="1"/>
  <c r="A1124" i="3" a="1"/>
  <c r="A926" i="3" a="1"/>
  <c r="E707" i="3" a="1"/>
  <c r="E569" i="3" a="1"/>
  <c r="D903" i="3" a="1"/>
  <c r="B581" i="3" a="1"/>
  <c r="C591" i="3" a="1"/>
  <c r="B1144" i="3" a="1"/>
  <c r="B419" i="3" a="1"/>
  <c r="B1394" i="3" a="1"/>
  <c r="B1415" i="3" a="1"/>
  <c r="B1386" i="3" a="1"/>
  <c r="A1341" i="3" a="1"/>
  <c r="E746" i="3" a="1"/>
  <c r="B624" i="3" a="1"/>
  <c r="E1087" i="3" a="1"/>
  <c r="B997" i="3" a="1"/>
  <c r="B448" i="3" a="1"/>
  <c r="F751" i="3" a="1"/>
  <c r="E1114" i="3" a="1"/>
  <c r="A1043" i="3" a="1"/>
  <c r="E1242" i="3" a="1"/>
  <c r="B771" i="3" a="1"/>
  <c r="F982" i="3" a="1"/>
  <c r="B1247" i="3" a="1"/>
  <c r="D1090" i="3" a="1"/>
  <c r="F1362" i="3" a="1"/>
  <c r="D1400" i="3" a="1"/>
  <c r="B1412" i="3" a="1"/>
  <c r="B1295" i="3" a="1"/>
  <c r="F585" i="3" a="1"/>
  <c r="A1169" i="3" a="1"/>
  <c r="A1049" i="3" a="1"/>
  <c r="B1065" i="3" a="1"/>
  <c r="F1243" i="3" a="1"/>
  <c r="F1182" i="3" a="1"/>
  <c r="F876" i="3" a="1"/>
  <c r="D1105" i="3" a="1"/>
  <c r="F517" i="3" a="1"/>
  <c r="F1358" i="3" a="1"/>
  <c r="A1336" i="3" a="1"/>
  <c r="D455" i="3" a="1"/>
  <c r="C947" i="3" a="1"/>
  <c r="D877" i="3" a="1"/>
  <c r="F1055" i="3" a="1"/>
  <c r="D841" i="3" a="1"/>
  <c r="D1280" i="3" a="1"/>
  <c r="C1250" i="3" a="1"/>
  <c r="C622" i="3" a="1"/>
  <c r="D914" i="3" a="1"/>
  <c r="C1324" i="3" a="1"/>
  <c r="B395" i="3" a="1"/>
  <c r="B1219" i="3" a="1"/>
  <c r="A1179" i="3" a="1"/>
  <c r="A1039" i="3" a="1"/>
  <c r="E800" i="3" a="1"/>
  <c r="C1110" i="3" a="1"/>
  <c r="D310" i="3" a="1"/>
  <c r="F952" i="3" a="1"/>
  <c r="E647" i="3" a="1"/>
  <c r="B50" i="3" a="1"/>
  <c r="A1219" i="3" a="1"/>
  <c r="E1364" i="3" a="1"/>
  <c r="A1221" i="3" a="1"/>
  <c r="D1327" i="3" a="1"/>
  <c r="D561" i="3" a="1"/>
  <c r="B321" i="3" a="1"/>
  <c r="F146" i="3" a="1"/>
  <c r="F1303" i="3" a="1"/>
  <c r="B692" i="3" a="1"/>
  <c r="F752" i="3" a="1"/>
  <c r="F1263" i="3" a="1"/>
  <c r="A977" i="3" a="1"/>
  <c r="B1163" i="3" a="1"/>
  <c r="A645" i="3" a="1"/>
  <c r="F1384" i="3" a="1"/>
  <c r="A288" i="3" a="1"/>
  <c r="A1047" i="3" a="1"/>
  <c r="D854" i="3" a="1"/>
  <c r="F1022" i="3" a="1"/>
  <c r="D14" i="3" a="1"/>
  <c r="E1212" i="3" a="1"/>
  <c r="A1389" i="3" a="1"/>
  <c r="E1408" i="3" a="1"/>
  <c r="C1323" i="3" a="1"/>
  <c r="E18" i="3" a="1"/>
  <c r="F1335" i="3" a="1"/>
  <c r="C1409" i="3" a="1"/>
  <c r="B1175" i="3" a="1"/>
  <c r="B909" i="3" a="1"/>
  <c r="C141" i="3" a="1"/>
  <c r="A1421" i="3" a="1"/>
  <c r="B654" i="3" a="1"/>
  <c r="C1119" i="3" a="1"/>
  <c r="E321" i="3" a="1"/>
  <c r="A502" i="3" a="1"/>
  <c r="A1011" i="3" a="1"/>
  <c r="A1192" i="3" a="1"/>
  <c r="B821" i="3" a="1"/>
  <c r="C1202" i="3" a="1"/>
  <c r="D459" i="3" a="1"/>
  <c r="E844" i="3" a="1"/>
  <c r="C697" i="3" a="1"/>
  <c r="A732" i="3" a="1"/>
  <c r="D363" i="3" a="1"/>
  <c r="B1329" i="3" a="1"/>
  <c r="D1121" i="3" a="1"/>
  <c r="C730" i="3" a="1"/>
  <c r="C1000" i="3" a="1"/>
  <c r="A215" i="3" a="1"/>
  <c r="F1339" i="3" a="1"/>
  <c r="E404" i="3" a="1"/>
  <c r="B738" i="3" a="1"/>
  <c r="C589" i="3" a="1"/>
  <c r="A767" i="3" a="1"/>
  <c r="D793" i="3" a="1"/>
  <c r="A886" i="3" a="1"/>
  <c r="C1290" i="3" a="1"/>
  <c r="B702" i="3" a="1"/>
  <c r="D1139" i="3" a="1"/>
  <c r="B1192" i="3" a="1"/>
  <c r="F1402" i="3" a="1"/>
  <c r="D1192" i="3" a="1"/>
  <c r="A1302" i="3" a="1"/>
  <c r="F701" i="3" a="1"/>
  <c r="C792" i="3" a="1"/>
  <c r="A461" i="3" a="1"/>
  <c r="B490" i="3" a="1"/>
  <c r="F918" i="3" a="1"/>
  <c r="D863" i="3" a="1"/>
  <c r="A1101" i="3" a="1"/>
  <c r="B969" i="3" a="1"/>
  <c r="C1312" i="3" a="1"/>
  <c r="A944" i="3" a="1"/>
  <c r="B1147" i="3" a="1"/>
  <c r="E957" i="3" a="1"/>
  <c r="D692" i="3" a="1"/>
  <c r="C1276" i="3" a="1"/>
  <c r="F672" i="3" a="1"/>
  <c r="C426" i="3" a="1"/>
  <c r="F1126" i="3" a="1"/>
  <c r="D1182" i="3" a="1"/>
  <c r="C1322" i="3" a="1"/>
  <c r="D414" i="3" a="1"/>
  <c r="E1287" i="3" a="1"/>
  <c r="C759" i="3" a="1"/>
  <c r="B824" i="3" a="1"/>
  <c r="B1335" i="3" a="1"/>
  <c r="A611" i="3" a="1"/>
  <c r="E1386" i="3" a="1"/>
  <c r="D568" i="3" a="1"/>
  <c r="E1149" i="3" a="1"/>
  <c r="F843" i="3" a="1"/>
  <c r="C806" i="3" a="1"/>
  <c r="B1202" i="3" a="1"/>
  <c r="B1279" i="3" a="1"/>
  <c r="E1254" i="3" a="1"/>
  <c r="F1088" i="3" a="1"/>
  <c r="D1249" i="3" a="1"/>
  <c r="B1127" i="3" a="1"/>
  <c r="E825" i="3" a="1"/>
  <c r="D1424" i="3" a="1"/>
  <c r="F565" i="3" a="1"/>
  <c r="D1355" i="3" a="1"/>
  <c r="F1143" i="3" a="1"/>
  <c r="E568" i="3" a="1"/>
  <c r="A677" i="3" a="1"/>
  <c r="B563" i="3" a="1"/>
  <c r="E1366" i="3" a="1"/>
  <c r="D1315" i="3" a="1"/>
  <c r="A1416" i="3" a="1"/>
  <c r="D1313" i="3" a="1"/>
  <c r="E1304" i="3" a="1"/>
  <c r="C876" i="3" a="1"/>
  <c r="B620" i="3" a="1"/>
  <c r="C631" i="3" a="1"/>
  <c r="A1239" i="3" a="1"/>
  <c r="D397" i="3" a="1"/>
  <c r="D142" i="3" a="1"/>
  <c r="E964" i="3" a="1"/>
  <c r="B1289" i="3" a="1"/>
  <c r="A902" i="3" a="1"/>
  <c r="B551" i="3" a="1"/>
  <c r="B883" i="3" a="1"/>
  <c r="A197" i="3" a="1"/>
  <c r="E1398" i="3" a="1"/>
  <c r="B1221" i="3" a="1"/>
  <c r="C837" i="3" a="1"/>
  <c r="D1318" i="3" a="1"/>
  <c r="D600" i="3" a="1"/>
  <c r="A707" i="3" a="1"/>
  <c r="D1357" i="3" a="1"/>
  <c r="D825" i="3" a="1"/>
  <c r="B385" i="3" a="1"/>
  <c r="D574" i="3" a="1"/>
  <c r="D643" i="3" a="1"/>
  <c r="C716" i="3" a="1"/>
  <c r="F845" i="3" a="1"/>
  <c r="E780" i="3" a="1"/>
  <c r="C1216" i="3" a="1"/>
  <c r="C1287" i="3" a="1"/>
  <c r="A797" i="3" a="1"/>
  <c r="C977" i="3" a="1"/>
  <c r="C1025" i="3" a="1"/>
  <c r="F1305" i="3" a="1"/>
  <c r="A1406" i="3" a="1"/>
  <c r="D379" i="3" a="1"/>
  <c r="B1084" i="3" a="1"/>
  <c r="B1398" i="3" a="1"/>
  <c r="D1419" i="3" a="1"/>
  <c r="E1231" i="3" a="1"/>
  <c r="F629" i="3" a="1"/>
  <c r="B1206" i="3" a="1"/>
  <c r="E246" i="3" a="1"/>
  <c r="F1233" i="3" a="1"/>
  <c r="C240" i="3" a="1"/>
  <c r="C1069" i="3" a="1"/>
  <c r="C878" i="3" a="1"/>
  <c r="E530" i="3" a="1"/>
  <c r="B1050" i="3" a="1"/>
  <c r="D476" i="3" a="1"/>
  <c r="A1236" i="3" a="1"/>
  <c r="C1365" i="3" a="1"/>
  <c r="D262" i="3" a="1"/>
  <c r="E342" i="3" a="1"/>
  <c r="B488" i="3" a="1"/>
  <c r="D273" i="3" a="1"/>
  <c r="C794" i="3" a="1"/>
  <c r="F849" i="3" a="1"/>
  <c r="B1316" i="3" a="1"/>
  <c r="E876" i="3" a="1"/>
  <c r="C1343" i="3" a="1"/>
  <c r="E1078" i="3" a="1"/>
  <c r="E1406" i="3" a="1"/>
  <c r="D1184" i="3" a="1"/>
  <c r="F1368" i="3" a="1"/>
  <c r="E1180" i="3" a="1"/>
  <c r="C1372" i="3" a="1"/>
  <c r="B1074" i="3" a="1"/>
  <c r="E686" i="3" a="1"/>
  <c r="B505" i="3" a="1"/>
  <c r="A1248" i="3" a="1"/>
  <c r="F861" i="3" a="1"/>
  <c r="E1059" i="3" a="1"/>
  <c r="E1011" i="3" a="1"/>
  <c r="B245" i="3" a="1"/>
  <c r="A1283" i="3" a="1"/>
  <c r="B653" i="3" a="1"/>
  <c r="D840" i="3" a="1"/>
  <c r="E648" i="3" a="1"/>
  <c r="D1304" i="3" a="1"/>
  <c r="D805" i="3" a="1"/>
  <c r="A1370" i="3" a="1"/>
  <c r="B424" i="3" a="1"/>
  <c r="D873" i="3" a="1"/>
  <c r="D712" i="3" a="1"/>
  <c r="B964" i="3" a="1"/>
  <c r="C1257" i="3" a="1"/>
  <c r="D40" i="3" a="1"/>
  <c r="F1259" i="3" a="1"/>
  <c r="E1307" i="3" a="1"/>
  <c r="C858" i="3" a="1"/>
  <c r="F1154" i="3" a="1"/>
  <c r="B1263" i="3" a="1"/>
  <c r="D1282" i="3" a="1"/>
  <c r="C927" i="3" a="1"/>
  <c r="E764" i="3" a="1"/>
  <c r="B1205" i="3" a="1"/>
  <c r="B684" i="3" a="1"/>
  <c r="A787" i="3" a="1"/>
  <c r="D833" i="3" a="1"/>
  <c r="E1255" i="3" a="1"/>
  <c r="E1112" i="3" a="1"/>
  <c r="F581" i="3" a="1"/>
  <c r="C1162" i="3" a="1"/>
  <c r="A1294" i="3" a="1"/>
  <c r="B599" i="3" a="1"/>
  <c r="F901" i="3" a="1"/>
  <c r="C723" i="3" a="1"/>
  <c r="D792" i="3" a="1"/>
  <c r="D440" i="3" a="1"/>
  <c r="F836" i="3" a="1"/>
  <c r="F866" i="3" a="1"/>
  <c r="C1032" i="3" a="1"/>
  <c r="A1277" i="3" a="1"/>
  <c r="D809" i="3" a="1"/>
  <c r="C1309" i="3" a="1"/>
  <c r="B661" i="3" a="1"/>
  <c r="C1061" i="3" a="1"/>
  <c r="D88" i="3" a="1"/>
  <c r="C501" i="3" a="1"/>
  <c r="A832" i="3" a="1"/>
  <c r="C1007" i="3" a="1"/>
  <c r="D1189" i="3" a="1"/>
  <c r="E697" i="3" a="1"/>
  <c r="A1110" i="3" a="1"/>
  <c r="D1135" i="3" a="1"/>
  <c r="D1173" i="3" a="1"/>
  <c r="D1371" i="3" a="1"/>
  <c r="F1158" i="3" a="1"/>
  <c r="D282" i="3" a="1"/>
  <c r="F390" i="3" a="1"/>
  <c r="A1018" i="3" a="1"/>
  <c r="D86" i="3" a="1"/>
  <c r="E1061" i="3" a="1"/>
  <c r="D1112" i="3" a="1"/>
  <c r="D989" i="3" a="1"/>
  <c r="B1182" i="3" a="1"/>
  <c r="C577" i="3" a="1"/>
  <c r="D959" i="3" a="1"/>
  <c r="A806" i="3" a="1"/>
  <c r="A788" i="3" a="1"/>
  <c r="B1321" i="3" a="1"/>
  <c r="A1034" i="3" a="1"/>
  <c r="C1170" i="3" a="1"/>
  <c r="E1170" i="3" a="1"/>
  <c r="D1178" i="3" a="1"/>
  <c r="A995" i="3" a="1"/>
  <c r="F914" i="3" a="1"/>
  <c r="C1135" i="3" a="1"/>
  <c r="D555" i="3" a="1"/>
  <c r="B1079" i="3" a="1"/>
  <c r="A1031" i="3" a="1"/>
  <c r="C454" i="3" a="1"/>
  <c r="D1176" i="3" a="1"/>
  <c r="B631" i="3" a="1"/>
  <c r="F547" i="3" a="1"/>
  <c r="B1208" i="3" a="1"/>
  <c r="B482" i="3" a="1"/>
  <c r="D954" i="3" a="1"/>
  <c r="F800" i="3" a="1"/>
  <c r="D1348" i="3" a="1"/>
  <c r="A1053" i="3" a="1"/>
  <c r="E1207" i="3" a="1"/>
  <c r="A552" i="3" a="1"/>
  <c r="A835" i="3" a="1"/>
  <c r="E578" i="3" a="1"/>
  <c r="A1414" i="3" a="1"/>
  <c r="D1406" i="3" a="1"/>
  <c r="D689" i="3" a="1"/>
  <c r="B1113" i="3" a="1"/>
  <c r="E1205" i="3" a="1"/>
  <c r="A537" i="3" a="1"/>
  <c r="E1373" i="3" a="1"/>
  <c r="F759" i="3" a="1"/>
  <c r="F1120" i="3" a="1"/>
  <c r="A933" i="3" a="1"/>
  <c r="D930" i="3" a="1"/>
  <c r="F888" i="3" a="1"/>
  <c r="B1152" i="3" a="1"/>
  <c r="B695" i="3" a="1"/>
  <c r="B922" i="3" a="1"/>
  <c r="F1242" i="3" a="1"/>
  <c r="D461" i="3" a="1"/>
  <c r="D649" i="3" a="1"/>
  <c r="C1012" i="3" a="1"/>
  <c r="A714" i="3" a="1"/>
  <c r="F988" i="3" a="1"/>
  <c r="F1080" i="3" a="1"/>
  <c r="F1275" i="3" a="1"/>
  <c r="B1075" i="3" a="1"/>
  <c r="B718" i="3" a="1"/>
  <c r="E329" i="3" a="1"/>
  <c r="F1360" i="3" a="1"/>
  <c r="A889" i="3" a="1"/>
  <c r="E636" i="3" a="1"/>
  <c r="E603" i="3" a="1"/>
  <c r="D816" i="3" a="1"/>
  <c r="C1109" i="3" a="1"/>
  <c r="E938" i="3" a="1"/>
  <c r="C1023" i="3" a="1"/>
  <c r="F1060" i="3" a="1"/>
  <c r="A837" i="3" a="1"/>
  <c r="A1123" i="3" a="1"/>
  <c r="B1260" i="3" a="1"/>
  <c r="F1287" i="3" a="1"/>
  <c r="C1058" i="3" a="1"/>
  <c r="C1070" i="3" a="1"/>
  <c r="E1086" i="3" a="1"/>
  <c r="F1159" i="3" a="1"/>
  <c r="C603" i="3" a="1"/>
  <c r="E677" i="3" a="1"/>
  <c r="A1111" i="3" a="1"/>
  <c r="E700" i="3" a="1"/>
  <c r="C761" i="3" a="1"/>
  <c r="D1195" i="3" a="1"/>
  <c r="C971" i="3" a="1"/>
  <c r="B1025" i="3" a="1"/>
  <c r="E437" i="3" a="1"/>
  <c r="E1353" i="3" a="1"/>
  <c r="E1385" i="3" a="1"/>
  <c r="A1187" i="3" a="1"/>
  <c r="B501" i="3" a="1"/>
  <c r="D950" i="3" a="1"/>
  <c r="C1300" i="3" a="1"/>
  <c r="D145" i="3" a="1"/>
  <c r="A1356" i="3" a="1"/>
  <c r="B912" i="3" a="1"/>
  <c r="A895" i="3" a="1"/>
  <c r="F1069" i="3" a="1"/>
  <c r="D1227" i="3" a="1"/>
  <c r="D597" i="3" a="1"/>
  <c r="F976" i="3" a="1"/>
  <c r="B1244" i="3" a="1"/>
  <c r="B999" i="3" a="1"/>
  <c r="F741" i="3" a="1"/>
  <c r="D1364" i="3" a="1"/>
  <c r="A597" i="3" a="1"/>
  <c r="E831" i="3" a="1"/>
  <c r="A1006" i="3" a="1"/>
  <c r="A516" i="3" a="1"/>
  <c r="F1350" i="3" a="1"/>
  <c r="B1232" i="3" a="1"/>
  <c r="E1132" i="3" a="1"/>
  <c r="B716" i="3" a="1"/>
  <c r="C775" i="3" a="1"/>
  <c r="D1109" i="3" a="1"/>
  <c r="E1216" i="3" a="1"/>
  <c r="A968" i="3" a="1"/>
  <c r="E892" i="3" a="1"/>
  <c r="C867" i="3" a="1"/>
  <c r="E1301" i="3" a="1"/>
  <c r="A922" i="3" a="1"/>
  <c r="A1305" i="3" a="1"/>
  <c r="C1140" i="3" a="1"/>
  <c r="C1210" i="3" a="1"/>
  <c r="F1216" i="3" a="1"/>
  <c r="B1102" i="3" a="1"/>
  <c r="E1269" i="3" a="1"/>
  <c r="D1308" i="3" a="1"/>
  <c r="F872" i="3" a="1"/>
  <c r="F1043" i="3" a="1"/>
  <c r="B171" i="3" a="1"/>
  <c r="A1410" i="3" a="1"/>
  <c r="B512" i="3" a="1"/>
  <c r="E1397" i="3" a="1"/>
  <c r="C1382" i="3" a="1"/>
  <c r="A859" i="3" a="1"/>
  <c r="D1306" i="3" a="1"/>
  <c r="B896" i="3" a="1"/>
  <c r="D939" i="3" a="1"/>
  <c r="D1292" i="3" a="1"/>
  <c r="F115" i="3" a="1"/>
  <c r="A1350" i="3" a="1"/>
  <c r="A254" i="3" a="1"/>
  <c r="B1382" i="3" a="1"/>
  <c r="A849" i="3" a="1"/>
  <c r="D1290" i="3" a="1"/>
  <c r="E1055" i="3" a="1"/>
  <c r="E1039" i="3" a="1"/>
  <c r="F810" i="3" a="1"/>
  <c r="E950" i="3" a="1"/>
  <c r="F1307" i="3" a="1"/>
  <c r="F614" i="3" a="1"/>
  <c r="F435" i="3" a="1"/>
  <c r="C643" i="3" a="1"/>
  <c r="C303" i="3" a="1"/>
  <c r="F434" i="3" a="1"/>
  <c r="A1310" i="3" a="1"/>
  <c r="F196" i="3" a="1"/>
  <c r="B1116" i="3" a="1"/>
  <c r="A1008" i="3" a="1"/>
  <c r="C1126" i="3" a="1"/>
  <c r="E1127" i="3" a="1"/>
  <c r="C1285" i="3" a="1"/>
  <c r="A1088" i="3" a="1"/>
  <c r="D1298" i="3" a="1"/>
  <c r="E1240" i="3" a="1"/>
  <c r="A669" i="3" a="1"/>
  <c r="E742" i="3" a="1"/>
  <c r="C1087" i="3" a="1"/>
  <c r="E1413" i="3" a="1"/>
  <c r="B971" i="3" a="1"/>
  <c r="F1047" i="3" a="1"/>
  <c r="E389" i="3" a="1"/>
  <c r="C1139" i="3" a="1"/>
  <c r="A1100" i="3" a="1"/>
  <c r="D702" i="3" a="1"/>
  <c r="B213" i="3" a="1"/>
  <c r="F978" i="3" a="1"/>
  <c r="B433" i="3" a="1"/>
  <c r="F286" i="3" a="1"/>
  <c r="C1245" i="3" a="1"/>
  <c r="F811" i="3" a="1"/>
  <c r="F1178" i="3" a="1"/>
  <c r="E1178" i="3" a="1"/>
  <c r="A562" i="3" a="1"/>
  <c r="D986" i="3" a="1"/>
  <c r="D1346" i="3" a="1"/>
  <c r="D1338" i="3" a="1"/>
  <c r="D920" i="3" a="1"/>
  <c r="D1297" i="3" a="1"/>
  <c r="C256" i="3" a="1"/>
  <c r="B1355" i="3" a="1"/>
  <c r="D765" i="3" a="1"/>
  <c r="D1362" i="3" a="1"/>
  <c r="F1116" i="3" a="1"/>
  <c r="C420" i="3" a="1"/>
  <c r="E220" i="3" a="1"/>
  <c r="F823" i="3" a="1"/>
  <c r="A1415" i="3" a="1"/>
  <c r="D1095" i="3" a="1"/>
  <c r="C1246" i="3" a="1"/>
  <c r="A1330" i="3" a="1"/>
  <c r="E1052" i="3" a="1"/>
  <c r="B1153" i="3" a="1"/>
  <c r="F793" i="3" a="1"/>
  <c r="F352" i="3" a="1"/>
  <c r="F1253" i="3" a="1"/>
  <c r="F1271" i="3" a="1"/>
  <c r="C1248" i="3" a="1"/>
  <c r="D885" i="3" a="1"/>
  <c r="D683" i="3" a="1"/>
  <c r="E1284" i="3" a="1"/>
  <c r="C1362" i="3" a="1"/>
  <c r="D1208" i="3" a="1"/>
  <c r="D1141" i="3" a="1"/>
  <c r="E534" i="3" a="1"/>
  <c r="E229" i="3" a="1"/>
  <c r="B1253" i="3" a="1"/>
  <c r="E1184" i="3" a="1"/>
  <c r="E827" i="3" a="1"/>
  <c r="B368" i="3" a="1"/>
  <c r="B1005" i="3" a="1"/>
  <c r="C1235" i="3" a="1"/>
  <c r="A780" i="3" a="1"/>
  <c r="C675" i="3" a="1"/>
  <c r="F644" i="3" a="1"/>
  <c r="B118" i="3" a="1"/>
  <c r="F1189" i="3" a="1"/>
  <c r="F777" i="3" a="1"/>
  <c r="B819" i="3" a="1"/>
  <c r="B845" i="3" a="1"/>
  <c r="C140" i="3" a="1"/>
  <c r="B214" i="3" a="1"/>
  <c r="E916" i="3" a="1"/>
  <c r="A1413" i="3" a="1"/>
  <c r="F1252" i="3" a="1"/>
  <c r="D864" i="3" a="1"/>
  <c r="F1317" i="3" a="1"/>
  <c r="E1025" i="3" a="1"/>
  <c r="D928" i="3" a="1"/>
  <c r="A1390" i="3" a="1"/>
  <c r="B1011" i="3" a="1"/>
  <c r="C533" i="3" a="1"/>
  <c r="F485" i="3" a="1"/>
  <c r="D570" i="3" a="1"/>
  <c r="F1269" i="3" a="1"/>
  <c r="C1218" i="3" a="1"/>
  <c r="B1183" i="3" a="1"/>
  <c r="B1292" i="3" a="1"/>
  <c r="A118" i="3" a="1"/>
  <c r="C652" i="3" a="1"/>
  <c r="E914" i="3" a="1"/>
  <c r="E1066" i="3" a="1"/>
  <c r="E1377" i="3" a="1"/>
  <c r="B349" i="3" a="1"/>
  <c r="B770" i="3" a="1"/>
  <c r="C1194" i="3" a="1"/>
  <c r="D1366" i="3" a="1"/>
  <c r="D1270" i="3" a="1"/>
  <c r="F1101" i="3" a="1"/>
  <c r="F631" i="3" a="1"/>
  <c r="A757" i="3" a="1"/>
  <c r="C903" i="3" a="1"/>
  <c r="E978" i="3" a="1"/>
  <c r="F1112" i="3" a="1"/>
  <c r="B1308" i="3" a="1"/>
  <c r="C1174" i="3" a="1"/>
  <c r="B706" i="3" a="1"/>
  <c r="B1112" i="3" a="1"/>
  <c r="C1242" i="3" a="1"/>
  <c r="E1362" i="3" a="1"/>
  <c r="A777" i="3" a="1"/>
  <c r="E682" i="3" a="1"/>
  <c r="A991" i="3" a="1"/>
  <c r="D160" i="3" a="1"/>
  <c r="B1240" i="3" a="1"/>
  <c r="E775" i="3" a="1"/>
  <c r="C1057" i="3" a="1"/>
  <c r="C750" i="3" a="1"/>
  <c r="A748" i="3" a="1"/>
  <c r="F966" i="3" a="1"/>
  <c r="A1181" i="3" a="1"/>
  <c r="F974" i="3" a="1"/>
  <c r="B1369" i="3" a="1"/>
  <c r="C211" i="3" a="1"/>
  <c r="E650" i="3" a="1"/>
  <c r="F774" i="3" a="1"/>
  <c r="B1129" i="3" a="1"/>
  <c r="A623" i="3" a="1"/>
  <c r="E1068" i="3" a="1"/>
  <c r="C310" i="3" a="1"/>
  <c r="C729" i="3" a="1"/>
  <c r="B1209" i="3" a="1"/>
  <c r="B1334" i="3" a="1"/>
  <c r="D1333" i="3" a="1"/>
  <c r="C840" i="3" a="1"/>
  <c r="D535" i="3" a="1"/>
  <c r="C1354" i="3" a="1"/>
  <c r="C1155" i="3" a="1"/>
  <c r="E704" i="3" a="1"/>
  <c r="A906" i="3" a="1"/>
  <c r="D612" i="3" a="1"/>
  <c r="B932" i="3" a="1"/>
  <c r="E1214" i="3" a="1"/>
  <c r="D1221" i="3" a="1"/>
  <c r="D1365" i="3" a="1"/>
  <c r="C1081" i="3" a="1"/>
  <c r="D999" i="3" a="1"/>
  <c r="C1231" i="3" a="1"/>
  <c r="B784" i="3" a="1"/>
  <c r="C756" i="3" a="1"/>
  <c r="A1093" i="3" a="1"/>
  <c r="C1404" i="3" a="1"/>
  <c r="F623" i="3" a="1"/>
  <c r="F468" i="3" a="1"/>
  <c r="E1143" i="3" a="1"/>
  <c r="B1231" i="3" a="1"/>
  <c r="F1200" i="3" a="1"/>
  <c r="E1422" i="3" a="1"/>
  <c r="D842" i="3" a="1"/>
  <c r="A107" i="3" a="1"/>
  <c r="F563" i="3" a="1"/>
  <c r="E1360" i="3" a="1"/>
  <c r="B1070" i="3" a="1"/>
  <c r="D1321" i="3" a="1"/>
  <c r="D1058" i="3" a="1"/>
  <c r="F587" i="3" a="1"/>
  <c r="D102" i="3" a="1"/>
  <c r="B209" i="3" a="1"/>
  <c r="C626" i="3" a="1"/>
  <c r="B1000" i="3" a="1"/>
  <c r="A582" i="3" a="1"/>
  <c r="F453" i="3" a="1"/>
  <c r="C869" i="3" a="1"/>
  <c r="B863" i="3" a="1"/>
  <c r="B1332" i="3" a="1"/>
  <c r="A971" i="3" a="1"/>
  <c r="C1306" i="3" a="1"/>
  <c r="A674" i="3" a="1"/>
  <c r="A1045" i="3" a="1"/>
  <c r="A1411" i="3" a="1"/>
  <c r="F654" i="3" a="1"/>
  <c r="E1121" i="3" a="1"/>
  <c r="F704" i="3" a="1"/>
  <c r="E920" i="3" a="1"/>
  <c r="A885" i="3" a="1"/>
  <c r="D518" i="3" a="1"/>
  <c r="C981" i="3" a="1"/>
  <c r="B1159" i="3" a="1"/>
  <c r="C760" i="3" a="1"/>
  <c r="D687" i="3" a="1"/>
  <c r="D1356" i="3" a="1"/>
  <c r="A1249" i="3" a="1"/>
  <c r="C582" i="3" a="1"/>
  <c r="F1123" i="3" a="1"/>
  <c r="E489" i="3" a="1"/>
  <c r="B1156" i="3" a="1"/>
  <c r="A1327" i="3" a="1"/>
  <c r="C754" i="3" a="1"/>
  <c r="E641" i="3" a="1"/>
  <c r="A609" i="3" a="1"/>
  <c r="F653" i="3" a="1"/>
  <c r="C1190" i="3" a="1"/>
  <c r="D584" i="3" a="1"/>
  <c r="E1190" i="3" a="1"/>
  <c r="F702" i="3" a="1"/>
  <c r="E71" i="3" a="1"/>
  <c r="D1159" i="3" a="1"/>
  <c r="F941" i="3" a="1"/>
  <c r="F1160" i="3" a="1"/>
  <c r="C782" i="3" a="1"/>
  <c r="D1284" i="3" a="1"/>
  <c r="C922" i="3" a="1"/>
  <c r="F841" i="3" a="1"/>
  <c r="B1237" i="3" a="1"/>
  <c r="B494" i="3" a="1"/>
  <c r="D1185" i="3" a="1"/>
  <c r="A801" i="3" a="1"/>
  <c r="E1093" i="3" a="1"/>
  <c r="F639" i="3" a="1"/>
  <c r="C1228" i="3" a="1"/>
  <c r="B1270" i="3" a="1"/>
  <c r="A1280" i="3" a="1"/>
  <c r="E818" i="3" a="1"/>
  <c r="C702" i="3" a="1"/>
  <c r="F620" i="3" a="1"/>
  <c r="D763" i="3" a="1"/>
  <c r="A1333" i="3" a="1"/>
  <c r="B1360" i="3" a="1"/>
  <c r="B758" i="3" a="1"/>
  <c r="A1164" i="3" a="1"/>
  <c r="F1251" i="3" a="1"/>
  <c r="C797" i="3" a="1"/>
  <c r="C1411" i="3" a="1"/>
  <c r="B289" i="3" a="1"/>
  <c r="D1309" i="3" a="1"/>
  <c r="D1198" i="3" a="1"/>
  <c r="F545" i="3" a="1"/>
  <c r="F684" i="3" a="1"/>
  <c r="A943" i="3" a="1"/>
  <c r="A1106" i="3" a="1"/>
  <c r="E1042" i="3" a="1"/>
  <c r="C967" i="3" a="1"/>
  <c r="E1110" i="3" a="1"/>
  <c r="B1381" i="3" a="1"/>
  <c r="A421" i="3" a="1"/>
  <c r="A1065" i="3" a="1"/>
  <c r="C894" i="3" a="1"/>
  <c r="C328" i="3" a="1"/>
  <c r="A1398" i="3" a="1"/>
  <c r="F956" i="3" a="1"/>
  <c r="D1220" i="3" a="1"/>
  <c r="E683" i="3" a="1"/>
  <c r="D1081" i="3" a="1"/>
  <c r="A751" i="3" a="1"/>
  <c r="D288" i="3" a="1"/>
  <c r="A930" i="3" a="1"/>
  <c r="B1048" i="3" a="1"/>
  <c r="E715" i="3" a="1"/>
  <c r="A1257" i="3" a="1"/>
  <c r="F579" i="3" a="1"/>
  <c r="B893" i="3" a="1"/>
  <c r="B523" i="3" a="1"/>
  <c r="D1133" i="3" a="1"/>
  <c r="C1269" i="3" a="1"/>
  <c r="F376" i="3" a="1"/>
  <c r="D866" i="3" a="1"/>
  <c r="B1072" i="3" a="1"/>
  <c r="B709" i="3" a="1"/>
  <c r="F373" i="3" a="1"/>
  <c r="F998" i="3" a="1"/>
  <c r="D1003" i="3" a="1"/>
  <c r="B1297" i="3" a="1"/>
  <c r="B1255" i="3" a="1"/>
  <c r="A466" i="3" a="1"/>
  <c r="C751" i="3" a="1"/>
  <c r="A729" i="3" a="1"/>
  <c r="C568" i="3" a="1"/>
  <c r="F217" i="3" a="1"/>
  <c r="D1413" i="3" a="1"/>
  <c r="A1281" i="3" a="1"/>
  <c r="E1349" i="3" a="1"/>
  <c r="A781" i="3" a="1"/>
  <c r="B1346" i="3" a="1"/>
  <c r="E1080" i="3" a="1"/>
  <c r="A1353" i="3" a="1"/>
  <c r="A445" i="3" a="1"/>
  <c r="C1005" i="3" a="1"/>
  <c r="A1385" i="3" a="1"/>
  <c r="C1288" i="3" a="1"/>
  <c r="B1131" i="3" a="1"/>
  <c r="D1288" i="3" a="1"/>
  <c r="E1256" i="3" a="1"/>
  <c r="B625" i="3" a="1"/>
  <c r="E675" i="3" a="1"/>
  <c r="D559" i="3" a="1"/>
  <c r="B1213" i="3" a="1"/>
  <c r="C1186" i="3" a="1"/>
  <c r="A1131" i="3" a="1"/>
  <c r="E1331" i="3" a="1"/>
  <c r="A773" i="3" a="1"/>
  <c r="E608" i="3" a="1"/>
  <c r="C519" i="3" a="1"/>
  <c r="D714" i="3" a="1"/>
  <c r="E1044" i="3" a="1"/>
  <c r="D1034" i="3" a="1"/>
  <c r="F1177" i="3" a="1"/>
  <c r="B1133" i="3" a="1"/>
  <c r="A887" i="3" a="1"/>
  <c r="F1079" i="3" a="1"/>
  <c r="B1107" i="3" a="1"/>
  <c r="D1299" i="3" a="1"/>
  <c r="E1097" i="3" a="1"/>
  <c r="B1164" i="3" a="1"/>
  <c r="C734" i="3" a="1"/>
  <c r="D681" i="3" a="1"/>
  <c r="A1208" i="3" a="1"/>
  <c r="F1365" i="3" a="1"/>
  <c r="A879" i="3" a="1"/>
  <c r="A1128" i="3" a="1"/>
  <c r="E1150" i="3" a="1"/>
  <c r="F1375" i="3" a="1"/>
  <c r="D604" i="3" a="1"/>
  <c r="B708" i="3" a="1"/>
  <c r="E708" i="3" a="1"/>
  <c r="D1161" i="3" a="1"/>
  <c r="B1088" i="3" a="1"/>
  <c r="E791" i="3" a="1"/>
  <c r="A1136" i="3" a="1"/>
  <c r="B1104" i="3" a="1"/>
  <c r="A632" i="3" a="1"/>
  <c r="C694" i="3" a="1"/>
  <c r="E1350" i="3" a="1"/>
  <c r="B1146" i="3" a="1"/>
  <c r="F1349" i="3" a="1"/>
  <c r="B1203" i="3" a="1"/>
  <c r="F493" i="3" a="1"/>
  <c r="B1269" i="3" a="1"/>
  <c r="C1089" i="3" a="1"/>
  <c r="C1177" i="3" a="1"/>
  <c r="E877" i="3" a="1"/>
  <c r="F1304" i="3" a="1"/>
  <c r="B1359" i="3" a="1"/>
  <c r="D1392" i="3" a="1"/>
  <c r="F1127" i="3" a="1"/>
  <c r="E1027" i="3" a="1"/>
  <c r="B1283" i="3" a="1"/>
  <c r="F717" i="3" a="1"/>
  <c r="C989" i="3" a="1"/>
  <c r="D1048" i="3" a="1"/>
  <c r="A588" i="3" a="1"/>
  <c r="E1330" i="3" a="1"/>
  <c r="D1311" i="3" a="1"/>
  <c r="B1250" i="3" a="1"/>
  <c r="F502" i="3" a="1"/>
  <c r="C1301" i="3" a="1"/>
  <c r="B458" i="3" a="1"/>
  <c r="F931" i="3" a="1"/>
  <c r="F1347" i="3" a="1"/>
  <c r="A1162" i="3" a="1"/>
  <c r="E870" i="3" a="1"/>
  <c r="D1104" i="3" a="1"/>
  <c r="B793" i="3" a="1"/>
  <c r="D982" i="3" a="1"/>
  <c r="B1236" i="3" a="1"/>
  <c r="B750" i="3" a="1"/>
  <c r="C1252" i="3" a="1"/>
  <c r="A1263" i="3" a="1"/>
  <c r="B1176" i="3" a="1"/>
  <c r="C666" i="3" a="1"/>
  <c r="A593" i="3" a="1"/>
  <c r="C1221" i="3" a="1"/>
  <c r="A972" i="3" a="1"/>
  <c r="F464" i="3" a="1"/>
  <c r="E421" i="3" a="1"/>
  <c r="A1059" i="3" a="1"/>
  <c r="D1259" i="3" a="1"/>
  <c r="A955" i="3" a="1"/>
  <c r="F826" i="3" a="1"/>
  <c r="E839" i="3" a="1"/>
  <c r="D377" i="3" a="1"/>
  <c r="F329" i="3" a="1"/>
  <c r="F591" i="3" a="1"/>
  <c r="D1373" i="3" a="1"/>
  <c r="C954" i="3" a="1"/>
  <c r="C1195" i="3" a="1"/>
  <c r="A910" i="3" a="1"/>
  <c r="D1310" i="3" a="1"/>
  <c r="F1024" i="3" a="1"/>
  <c r="D375" i="3" a="1"/>
  <c r="B1054" i="3" a="1"/>
  <c r="D1122" i="3" a="1"/>
  <c r="D1334" i="3" a="1"/>
  <c r="D33" i="3" a="1"/>
  <c r="B81" i="3" a="1"/>
  <c r="E245" i="3" a="1"/>
  <c r="F1285" i="3" a="1"/>
  <c r="E1022" i="3" a="1"/>
  <c r="D1300" i="3" a="1"/>
  <c r="C220" i="3" a="1"/>
  <c r="A1267" i="3" a="1"/>
  <c r="D1050" i="3" a="1"/>
  <c r="B651" i="3" a="1"/>
  <c r="B673" i="3" a="1"/>
  <c r="F830" i="3" a="1"/>
  <c r="B837" i="3" a="1"/>
  <c r="D655" i="3" a="1"/>
  <c r="A219" i="3" a="1"/>
  <c r="E988" i="3" a="1"/>
  <c r="F1035" i="3" a="1"/>
  <c r="C1157" i="3" a="1"/>
  <c r="C1131" i="3" a="1"/>
  <c r="C1193" i="3" a="1"/>
  <c r="C1359" i="3" a="1"/>
  <c r="A625" i="3" a="1"/>
  <c r="B831" i="3" a="1"/>
  <c r="D680" i="3" a="1"/>
  <c r="B905" i="3" a="1"/>
  <c r="A960" i="3" a="1"/>
  <c r="B975" i="3" a="1"/>
  <c r="E991" i="3" a="1"/>
  <c r="C953" i="3" a="1"/>
  <c r="C500" i="3" a="1"/>
  <c r="C1321" i="3" a="1"/>
  <c r="E1169" i="3" a="1"/>
  <c r="C828" i="3" a="1"/>
  <c r="E1308" i="3" a="1"/>
  <c r="D227" i="3" a="1"/>
  <c r="A1245" i="3" a="1"/>
  <c r="E1401" i="3" a="1"/>
  <c r="B915" i="3" a="1"/>
  <c r="F1265" i="3" a="1"/>
  <c r="D1080" i="3" a="1"/>
  <c r="D201" i="3" a="1"/>
  <c r="D794" i="3" a="1"/>
  <c r="C769" i="3" a="1"/>
  <c r="C302" i="3" a="1"/>
  <c r="B876" i="3" a="1"/>
  <c r="F1068" i="3" a="1"/>
  <c r="A1309" i="3" a="1"/>
  <c r="A1033" i="3" a="1"/>
  <c r="D603" i="3" a="1"/>
  <c r="C1052" i="3" a="1"/>
  <c r="E1280" i="3" a="1"/>
  <c r="B1035" i="3" a="1"/>
  <c r="C182" i="3" a="1"/>
  <c r="C959" i="3" a="1"/>
  <c r="D947" i="3" a="1"/>
  <c r="C1092" i="3" a="1"/>
  <c r="D1305" i="3" a="1"/>
  <c r="C1091" i="3" a="1"/>
  <c r="F1393" i="3" a="1"/>
  <c r="C987" i="3" a="1"/>
  <c r="F212" i="3" a="1"/>
  <c r="E671" i="3" a="1"/>
  <c r="F1237" i="3" a="1"/>
  <c r="A1352" i="3" a="1"/>
  <c r="F1325" i="3" a="1"/>
  <c r="A1057" i="3" a="1"/>
  <c r="C1393" i="3" a="1"/>
  <c r="C1144" i="3" a="1"/>
  <c r="B1013" i="3" a="1"/>
  <c r="F1235" i="3" a="1"/>
  <c r="C1299" i="3" a="1"/>
  <c r="B986" i="3" a="1"/>
  <c r="C966" i="3" a="1"/>
  <c r="C1099" i="3" a="1"/>
  <c r="D1368" i="3" a="1"/>
  <c r="C905" i="3" a="1"/>
  <c r="A820" i="3" a="1"/>
  <c r="B1254" i="3" a="1"/>
  <c r="F317" i="3" a="1"/>
  <c r="D1266" i="3" a="1"/>
  <c r="E781" i="3" a="1"/>
  <c r="A754" i="3" a="1"/>
  <c r="F417" i="3" a="1"/>
  <c r="F972" i="3" a="1"/>
  <c r="A1196" i="3" a="1"/>
  <c r="A1377" i="3" a="1"/>
  <c r="E606" i="3" a="1"/>
  <c r="B1096" i="3" a="1"/>
  <c r="A579" i="3" a="1"/>
  <c r="B674" i="3" a="1"/>
  <c r="C309" i="3" a="1"/>
  <c r="B479" i="3" a="1"/>
  <c r="F1249" i="3" a="1"/>
  <c r="A931" i="3" a="1"/>
  <c r="E477" i="3" a="1"/>
  <c r="C1320" i="3" a="1"/>
  <c r="B41" i="3" a="1"/>
  <c r="D413" i="3" a="1"/>
  <c r="D961" i="3" a="1"/>
  <c r="C1305" i="3" a="1"/>
  <c r="A626" i="3" a="1"/>
  <c r="F895" i="3" a="1"/>
  <c r="D1328" i="3" a="1"/>
  <c r="B672" i="3" a="1"/>
  <c r="A1314" i="3" a="1"/>
  <c r="C1368" i="3" a="1"/>
  <c r="C1328" i="3" a="1"/>
  <c r="E1088" i="3" a="1"/>
  <c r="F120" i="3" a="1"/>
  <c r="D284" i="3" a="1"/>
  <c r="C28" i="3" a="1"/>
  <c r="A692" i="3" a="1"/>
  <c r="E211" i="3" a="1"/>
  <c r="A627" i="3" a="1"/>
  <c r="B1317" i="3" a="1"/>
  <c r="F650" i="3" a="1"/>
  <c r="D924" i="3" a="1"/>
  <c r="C180" i="3" a="1"/>
  <c r="F1261" i="3" a="1"/>
  <c r="A1359" i="3" a="1"/>
  <c r="E1368" i="3" a="1"/>
  <c r="C612" i="3" a="1"/>
  <c r="B903" i="3" a="1"/>
  <c r="D1193" i="3" a="1"/>
  <c r="C628" i="3" a="1"/>
  <c r="D1395" i="3" a="1"/>
  <c r="E1381" i="3" a="1"/>
  <c r="C829" i="3" a="1"/>
  <c r="A397" i="3" a="1"/>
  <c r="B927" i="3" a="1"/>
  <c r="A79" i="3" a="1"/>
  <c r="B546" i="3" a="1"/>
  <c r="C463" i="3" a="1"/>
  <c r="F754" i="3" a="1"/>
  <c r="C1203" i="3" a="1"/>
  <c r="A1418" i="3" a="1"/>
  <c r="E1423" i="3" a="1"/>
  <c r="A307" i="3" a="1"/>
  <c r="A407" i="3" a="1"/>
  <c r="E778" i="3" a="1"/>
  <c r="B989" i="3" a="1"/>
  <c r="D392" i="3" a="1"/>
  <c r="D1330" i="3" a="1"/>
  <c r="F537" i="3" a="1"/>
  <c r="B1223" i="3" a="1"/>
  <c r="C995" i="3" a="1"/>
  <c r="A969" i="3" a="1"/>
  <c r="A802" i="3" a="1"/>
  <c r="E1125" i="3" a="1"/>
  <c r="E732" i="3" a="1"/>
  <c r="E1267" i="3" a="1"/>
  <c r="D1197" i="3" a="1"/>
  <c r="C1338" i="3" a="1"/>
  <c r="C1196" i="3" a="1"/>
  <c r="C664" i="3" a="1"/>
  <c r="A411" i="3" a="1"/>
  <c r="C573" i="3" a="1"/>
  <c r="F71" i="3" a="1"/>
  <c r="E1006" i="3" a="1"/>
  <c r="C1084" i="3" a="1"/>
  <c r="A336" i="3" a="1"/>
  <c r="C1419" i="3" a="1"/>
  <c r="B857" i="3" a="1"/>
  <c r="A975" i="3" a="1"/>
  <c r="C737" i="3" a="1"/>
  <c r="B908" i="3" a="1"/>
  <c r="C496" i="3" a="1"/>
  <c r="D1272" i="3" a="1"/>
  <c r="E486" i="3" a="1"/>
  <c r="A1121" i="3" a="1"/>
  <c r="D1143" i="3" a="1"/>
  <c r="A932" i="3" a="1"/>
  <c r="A1062" i="3" a="1"/>
  <c r="C1184" i="3" a="1"/>
  <c r="C946" i="3" a="1"/>
  <c r="F1324" i="3" a="1"/>
  <c r="F399" i="3" a="1"/>
  <c r="E582" i="3" a="1"/>
  <c r="E1339" i="3" a="1"/>
  <c r="C1339" i="3" a="1"/>
  <c r="F536" i="3" a="1"/>
  <c r="F296" i="3" a="1"/>
  <c r="C1358" i="3" a="1"/>
  <c r="F1044" i="3" a="1"/>
  <c r="C1217" i="3" a="1"/>
  <c r="D927" i="3" a="1"/>
  <c r="A1256" i="3" a="1"/>
  <c r="A1343" i="3" a="1"/>
  <c r="E339" i="3" a="1"/>
  <c r="D1108" i="3" a="1"/>
  <c r="C1076" i="3" a="1"/>
  <c r="A913" i="3" a="1"/>
  <c r="F1204" i="3" a="1"/>
  <c r="C1364" i="3" a="1"/>
  <c r="E1338" i="3" a="1"/>
  <c r="B1010" i="3" a="1"/>
  <c r="D817" i="3" a="1"/>
  <c r="E1334" i="3" a="1"/>
  <c r="D1243" i="3" a="1"/>
  <c r="A1379" i="3" a="1"/>
  <c r="A946" i="3" a="1"/>
  <c r="F902" i="3" a="1"/>
  <c r="D1312" i="3" a="1"/>
  <c r="F478" i="3" a="1"/>
  <c r="B1313" i="3" a="1"/>
  <c r="B825" i="3" a="1"/>
  <c r="B1045" i="3" a="1"/>
  <c r="B1306" i="3" a="1"/>
  <c r="B1257" i="3" a="1"/>
  <c r="D1218" i="3" a="1"/>
  <c r="D551" i="3" a="1"/>
  <c r="C650" i="3" a="1"/>
  <c r="D772" i="3" a="1"/>
  <c r="D1386" i="3" a="1"/>
  <c r="B957" i="3" a="1"/>
  <c r="C1050" i="3" a="1"/>
  <c r="B1224" i="3" a="1"/>
  <c r="E996" i="3" a="1"/>
  <c r="E348" i="3" a="1"/>
  <c r="A723" i="3" a="1"/>
  <c r="F1007" i="3" a="1"/>
  <c r="E1394" i="3" a="1"/>
  <c r="F769" i="3" a="1"/>
  <c r="A1261" i="3" a="1"/>
  <c r="B988" i="3" a="1"/>
  <c r="F284" i="3" a="1"/>
  <c r="C359" i="3" a="1"/>
  <c r="D756" i="3" a="1"/>
  <c r="B1125" i="3" a="1"/>
  <c r="F1117" i="3" a="1"/>
  <c r="C1047" i="3" a="1"/>
  <c r="E737" i="3" a="1"/>
  <c r="B305" i="3" a="1"/>
  <c r="A810" i="3" a="1"/>
  <c r="B254" i="3" a="1"/>
  <c r="A789" i="3" a="1"/>
  <c r="D648" i="3" a="1"/>
  <c r="E638" i="3" a="1"/>
  <c r="F994" i="3" a="1"/>
  <c r="B884" i="3" a="1"/>
  <c r="F746" i="3" a="1"/>
  <c r="E859" i="3" a="1"/>
  <c r="F1262" i="3" a="1"/>
  <c r="D1423" i="3" a="1"/>
  <c r="F742" i="3" a="1"/>
  <c r="D631" i="3" a="1"/>
  <c r="B808" i="3" a="1"/>
  <c r="A851" i="3" a="1"/>
  <c r="A1363" i="3" a="1"/>
  <c r="B611" i="3" a="1"/>
  <c r="A1160" i="3" a="1"/>
  <c r="F908" i="3" a="1"/>
  <c r="F1277" i="3" a="1"/>
  <c r="B882" i="3" a="1"/>
  <c r="F1404" i="3" a="1"/>
  <c r="E1031" i="3" a="1"/>
  <c r="E1031" i="3" l="1"/>
  <c r="F1404" i="3"/>
  <c r="B882" i="3"/>
  <c r="F1277" i="3"/>
  <c r="F908" i="3"/>
  <c r="A1160" i="3"/>
  <c r="B611" i="3"/>
  <c r="A1363" i="3"/>
  <c r="A851" i="3"/>
  <c r="B808" i="3"/>
  <c r="D631" i="3"/>
  <c r="F742" i="3"/>
  <c r="D1423" i="3"/>
  <c r="F1262" i="3"/>
  <c r="E859" i="3"/>
  <c r="F746" i="3"/>
  <c r="B884" i="3"/>
  <c r="F994" i="3"/>
  <c r="E638" i="3"/>
  <c r="D648" i="3"/>
  <c r="A789" i="3"/>
  <c r="B254" i="3"/>
  <c r="A810" i="3"/>
  <c r="B305" i="3"/>
  <c r="E737" i="3"/>
  <c r="C1047" i="3"/>
  <c r="F1117" i="3"/>
  <c r="B1125" i="3"/>
  <c r="D756" i="3"/>
  <c r="C359" i="3"/>
  <c r="F284" i="3"/>
  <c r="B988" i="3"/>
  <c r="A1261" i="3"/>
  <c r="F769" i="3"/>
  <c r="E1394" i="3"/>
  <c r="F1007" i="3"/>
  <c r="A723" i="3"/>
  <c r="E348" i="3"/>
  <c r="E996" i="3"/>
  <c r="B1224" i="3"/>
  <c r="C1050" i="3"/>
  <c r="B957" i="3"/>
  <c r="D1386" i="3"/>
  <c r="D772" i="3"/>
  <c r="C650" i="3"/>
  <c r="D551" i="3"/>
  <c r="D1218" i="3"/>
  <c r="B1257" i="3"/>
  <c r="B1306" i="3"/>
  <c r="B1045" i="3"/>
  <c r="B825" i="3"/>
  <c r="B1313" i="3"/>
  <c r="F478" i="3"/>
  <c r="D1312" i="3"/>
  <c r="F902" i="3"/>
  <c r="A946" i="3"/>
  <c r="A1379" i="3"/>
  <c r="D1243" i="3"/>
  <c r="E1334" i="3"/>
  <c r="D817" i="3"/>
  <c r="B1010" i="3"/>
  <c r="E1338" i="3"/>
  <c r="C1364" i="3"/>
  <c r="F1204" i="3"/>
  <c r="A913" i="3"/>
  <c r="C1076" i="3"/>
  <c r="D1108" i="3"/>
  <c r="E339" i="3"/>
  <c r="A1343" i="3"/>
  <c r="A1256" i="3"/>
  <c r="D927" i="3"/>
  <c r="C1217" i="3"/>
  <c r="F1044" i="3"/>
  <c r="C1358" i="3"/>
  <c r="F296" i="3"/>
  <c r="F536" i="3"/>
  <c r="C1339" i="3"/>
  <c r="E1339" i="3"/>
  <c r="E582" i="3"/>
  <c r="F399" i="3"/>
  <c r="F1324" i="3"/>
  <c r="C946" i="3"/>
  <c r="C1184" i="3"/>
  <c r="A1062" i="3"/>
  <c r="A932" i="3"/>
  <c r="D1143" i="3"/>
  <c r="A1121" i="3"/>
  <c r="E486" i="3"/>
  <c r="D1272" i="3"/>
  <c r="C496" i="3"/>
  <c r="B908" i="3"/>
  <c r="C737" i="3"/>
  <c r="A975" i="3"/>
  <c r="B857" i="3"/>
  <c r="C1419" i="3"/>
  <c r="A336" i="3"/>
  <c r="C1084" i="3"/>
  <c r="E1006" i="3"/>
  <c r="F71" i="3"/>
  <c r="C573" i="3"/>
  <c r="A411" i="3"/>
  <c r="C664" i="3"/>
  <c r="C1196" i="3"/>
  <c r="C1338" i="3"/>
  <c r="D1197" i="3"/>
  <c r="E1267" i="3"/>
  <c r="E732" i="3"/>
  <c r="E1125" i="3"/>
  <c r="A802" i="3"/>
  <c r="A969" i="3"/>
  <c r="C995" i="3"/>
  <c r="B1223" i="3"/>
  <c r="F537" i="3"/>
  <c r="D1330" i="3"/>
  <c r="D392" i="3"/>
  <c r="B989" i="3"/>
  <c r="E778" i="3"/>
  <c r="A407" i="3"/>
  <c r="A307" i="3"/>
  <c r="E1423" i="3"/>
  <c r="A1418" i="3"/>
  <c r="C1203" i="3"/>
  <c r="F754" i="3"/>
  <c r="C463" i="3"/>
  <c r="B546" i="3"/>
  <c r="A79" i="3"/>
  <c r="B927" i="3"/>
  <c r="A397" i="3"/>
  <c r="C829" i="3"/>
  <c r="E1381" i="3"/>
  <c r="D1395" i="3"/>
  <c r="C628" i="3"/>
  <c r="D1193" i="3"/>
  <c r="B903" i="3"/>
  <c r="C612" i="3"/>
  <c r="E1368" i="3"/>
  <c r="A1359" i="3"/>
  <c r="F1261" i="3"/>
  <c r="C180" i="3"/>
  <c r="D924" i="3"/>
  <c r="F650" i="3"/>
  <c r="B1317" i="3"/>
  <c r="A627" i="3"/>
  <c r="E211" i="3"/>
  <c r="A692" i="3"/>
  <c r="C28" i="3"/>
  <c r="D284" i="3"/>
  <c r="F120" i="3"/>
  <c r="E1088" i="3"/>
  <c r="C1328" i="3"/>
  <c r="C1368" i="3"/>
  <c r="A1314" i="3"/>
  <c r="B672" i="3"/>
  <c r="D1328" i="3"/>
  <c r="F895" i="3"/>
  <c r="A626" i="3"/>
  <c r="C1305" i="3"/>
  <c r="D961" i="3"/>
  <c r="D413" i="3"/>
  <c r="B41" i="3"/>
  <c r="C1320" i="3"/>
  <c r="E477" i="3"/>
  <c r="A931" i="3"/>
  <c r="F1249" i="3"/>
  <c r="B479" i="3"/>
  <c r="C309" i="3"/>
  <c r="B674" i="3"/>
  <c r="A579" i="3"/>
  <c r="B1096" i="3"/>
  <c r="E606" i="3"/>
  <c r="A1377" i="3"/>
  <c r="A1196" i="3"/>
  <c r="F972" i="3"/>
  <c r="F417" i="3"/>
  <c r="A754" i="3"/>
  <c r="E781" i="3"/>
  <c r="D1266" i="3"/>
  <c r="F317" i="3"/>
  <c r="B1254" i="3"/>
  <c r="A820" i="3"/>
  <c r="C905" i="3"/>
  <c r="D1368" i="3"/>
  <c r="C1099" i="3"/>
  <c r="C966" i="3"/>
  <c r="B986" i="3"/>
  <c r="C1299" i="3"/>
  <c r="F1235" i="3"/>
  <c r="B1013" i="3"/>
  <c r="C1144" i="3"/>
  <c r="C1393" i="3"/>
  <c r="A1057" i="3"/>
  <c r="F1325" i="3"/>
  <c r="A1352" i="3"/>
  <c r="F1237" i="3"/>
  <c r="E671" i="3"/>
  <c r="F212" i="3"/>
  <c r="C987" i="3"/>
  <c r="F1393" i="3"/>
  <c r="C1091" i="3"/>
  <c r="D1305" i="3"/>
  <c r="C1092" i="3"/>
  <c r="D947" i="3"/>
  <c r="C959" i="3"/>
  <c r="C182" i="3"/>
  <c r="B1035" i="3"/>
  <c r="E1280" i="3"/>
  <c r="C1052" i="3"/>
  <c r="D603" i="3"/>
  <c r="A1033" i="3"/>
  <c r="A1309" i="3"/>
  <c r="F1068" i="3"/>
  <c r="B876" i="3"/>
  <c r="C302" i="3"/>
  <c r="C769" i="3"/>
  <c r="D794" i="3"/>
  <c r="D201" i="3"/>
  <c r="D1080" i="3"/>
  <c r="F1265" i="3"/>
  <c r="B915" i="3"/>
  <c r="E1401" i="3"/>
  <c r="A1245" i="3"/>
  <c r="D227" i="3"/>
  <c r="E1308" i="3"/>
  <c r="C828" i="3"/>
  <c r="E1169" i="3"/>
  <c r="C1321" i="3"/>
  <c r="C500" i="3"/>
  <c r="C953" i="3"/>
  <c r="E991" i="3"/>
  <c r="B975" i="3"/>
  <c r="A960" i="3"/>
  <c r="B905" i="3"/>
  <c r="D680" i="3"/>
  <c r="B831" i="3"/>
  <c r="A625" i="3"/>
  <c r="C1359" i="3"/>
  <c r="C1193" i="3"/>
  <c r="C1131" i="3"/>
  <c r="C1157" i="3"/>
  <c r="F1035" i="3"/>
  <c r="E988" i="3"/>
  <c r="A219" i="3"/>
  <c r="D655" i="3"/>
  <c r="B837" i="3"/>
  <c r="F830" i="3"/>
  <c r="B673" i="3"/>
  <c r="B651" i="3"/>
  <c r="D1050" i="3"/>
  <c r="A1267" i="3"/>
  <c r="C220" i="3"/>
  <c r="D1300" i="3"/>
  <c r="E1022" i="3"/>
  <c r="F1285" i="3"/>
  <c r="E245" i="3"/>
  <c r="B81" i="3"/>
  <c r="D33" i="3"/>
  <c r="D1334" i="3"/>
  <c r="D1122" i="3"/>
  <c r="B1054" i="3"/>
  <c r="D375" i="3"/>
  <c r="F1024" i="3"/>
  <c r="D1310" i="3"/>
  <c r="A910" i="3"/>
  <c r="C1195" i="3"/>
  <c r="C954" i="3"/>
  <c r="D1373" i="3"/>
  <c r="F591" i="3"/>
  <c r="F329" i="3"/>
  <c r="D377" i="3"/>
  <c r="E839" i="3"/>
  <c r="F826" i="3"/>
  <c r="A955" i="3"/>
  <c r="D1259" i="3"/>
  <c r="A1059" i="3"/>
  <c r="E421" i="3"/>
  <c r="F464" i="3"/>
  <c r="A972" i="3"/>
  <c r="C1221" i="3"/>
  <c r="A593" i="3"/>
  <c r="C666" i="3"/>
  <c r="B1176" i="3"/>
  <c r="A1263" i="3"/>
  <c r="C1252" i="3"/>
  <c r="B750" i="3"/>
  <c r="B1236" i="3"/>
  <c r="D982" i="3"/>
  <c r="B793" i="3"/>
  <c r="D1104" i="3"/>
  <c r="E870" i="3"/>
  <c r="A1162" i="3"/>
  <c r="F1347" i="3"/>
  <c r="F931" i="3"/>
  <c r="B458" i="3"/>
  <c r="C1301" i="3"/>
  <c r="F502" i="3"/>
  <c r="B1250" i="3"/>
  <c r="D1311" i="3"/>
  <c r="E1330" i="3"/>
  <c r="A588" i="3"/>
  <c r="D1048" i="3"/>
  <c r="C989" i="3"/>
  <c r="F717" i="3"/>
  <c r="B1283" i="3"/>
  <c r="E1027" i="3"/>
  <c r="F1127" i="3"/>
  <c r="D1392" i="3"/>
  <c r="B1359" i="3"/>
  <c r="F1304" i="3"/>
  <c r="E877" i="3"/>
  <c r="C1177" i="3"/>
  <c r="C1089" i="3"/>
  <c r="B1269" i="3"/>
  <c r="F493" i="3"/>
  <c r="B1203" i="3"/>
  <c r="F1349" i="3"/>
  <c r="B1146" i="3"/>
  <c r="E1350" i="3"/>
  <c r="C694" i="3"/>
  <c r="A632" i="3"/>
  <c r="B1104" i="3"/>
  <c r="A1136" i="3"/>
  <c r="E791" i="3"/>
  <c r="B1088" i="3"/>
  <c r="D1161" i="3"/>
  <c r="E708" i="3"/>
  <c r="B708" i="3"/>
  <c r="D604" i="3"/>
  <c r="F1375" i="3"/>
  <c r="E1150" i="3"/>
  <c r="A1128" i="3"/>
  <c r="A879" i="3"/>
  <c r="F1365" i="3"/>
  <c r="A1208" i="3"/>
  <c r="D681" i="3"/>
  <c r="C734" i="3"/>
  <c r="B1164" i="3"/>
  <c r="E1097" i="3"/>
  <c r="D1299" i="3"/>
  <c r="B1107" i="3"/>
  <c r="F1079" i="3"/>
  <c r="A887" i="3"/>
  <c r="B1133" i="3"/>
  <c r="F1177" i="3"/>
  <c r="D1034" i="3"/>
  <c r="E1044" i="3"/>
  <c r="D714" i="3"/>
  <c r="C519" i="3"/>
  <c r="E608" i="3"/>
  <c r="A773" i="3"/>
  <c r="E1331" i="3"/>
  <c r="A1131" i="3"/>
  <c r="C1186" i="3"/>
  <c r="B1213" i="3"/>
  <c r="D559" i="3"/>
  <c r="E675" i="3"/>
  <c r="B625" i="3"/>
  <c r="E1256" i="3"/>
  <c r="D1288" i="3"/>
  <c r="B1131" i="3"/>
  <c r="C1288" i="3"/>
  <c r="A1385" i="3"/>
  <c r="C1005" i="3"/>
  <c r="A445" i="3"/>
  <c r="A1353" i="3"/>
  <c r="E1080" i="3"/>
  <c r="B1346" i="3"/>
  <c r="A781" i="3"/>
  <c r="E1349" i="3"/>
  <c r="A1281" i="3"/>
  <c r="D1413" i="3"/>
  <c r="F217" i="3"/>
  <c r="C568" i="3"/>
  <c r="A729" i="3"/>
  <c r="C751" i="3"/>
  <c r="A466" i="3"/>
  <c r="B1255" i="3"/>
  <c r="B1297" i="3"/>
  <c r="D1003" i="3"/>
  <c r="F998" i="3"/>
  <c r="F373" i="3"/>
  <c r="B709" i="3"/>
  <c r="B1072" i="3"/>
  <c r="D866" i="3"/>
  <c r="F376" i="3"/>
  <c r="C1269" i="3"/>
  <c r="D1133" i="3"/>
  <c r="B523" i="3"/>
  <c r="B893" i="3"/>
  <c r="F579" i="3"/>
  <c r="A1257" i="3"/>
  <c r="E715" i="3"/>
  <c r="B1048" i="3"/>
  <c r="A930" i="3"/>
  <c r="D288" i="3"/>
  <c r="A751" i="3"/>
  <c r="D1081" i="3"/>
  <c r="E683" i="3"/>
  <c r="D1220" i="3"/>
  <c r="F956" i="3"/>
  <c r="A1398" i="3"/>
  <c r="C328" i="3"/>
  <c r="C894" i="3"/>
  <c r="A1065" i="3"/>
  <c r="A421" i="3"/>
  <c r="B1381" i="3"/>
  <c r="E1110" i="3"/>
  <c r="C967" i="3"/>
  <c r="E1042" i="3"/>
  <c r="A1106" i="3"/>
  <c r="A943" i="3"/>
  <c r="F684" i="3"/>
  <c r="F545" i="3"/>
  <c r="D1198" i="3"/>
  <c r="D1309" i="3"/>
  <c r="B289" i="3"/>
  <c r="C1411" i="3"/>
  <c r="C797" i="3"/>
  <c r="F1251" i="3"/>
  <c r="A1164" i="3"/>
  <c r="B758" i="3"/>
  <c r="B1360" i="3"/>
  <c r="A1333" i="3"/>
  <c r="D763" i="3"/>
  <c r="F620" i="3"/>
  <c r="C702" i="3"/>
  <c r="E818" i="3"/>
  <c r="A1280" i="3"/>
  <c r="B1270" i="3"/>
  <c r="C1228" i="3"/>
  <c r="F639" i="3"/>
  <c r="E1093" i="3"/>
  <c r="A801" i="3"/>
  <c r="D1185" i="3"/>
  <c r="B494" i="3"/>
  <c r="B1237" i="3"/>
  <c r="F841" i="3"/>
  <c r="C922" i="3"/>
  <c r="D1284" i="3"/>
  <c r="C782" i="3"/>
  <c r="F1160" i="3"/>
  <c r="F941" i="3"/>
  <c r="D1159" i="3"/>
  <c r="E71" i="3"/>
  <c r="F702" i="3"/>
  <c r="E1190" i="3"/>
  <c r="D584" i="3"/>
  <c r="C1190" i="3"/>
  <c r="F653" i="3"/>
  <c r="A609" i="3"/>
  <c r="E641" i="3"/>
  <c r="C754" i="3"/>
  <c r="A1327" i="3"/>
  <c r="B1156" i="3"/>
  <c r="E489" i="3"/>
  <c r="F1123" i="3"/>
  <c r="C582" i="3"/>
  <c r="A1249" i="3"/>
  <c r="D1356" i="3"/>
  <c r="D687" i="3"/>
  <c r="C760" i="3"/>
  <c r="B1159" i="3"/>
  <c r="C981" i="3"/>
  <c r="D518" i="3"/>
  <c r="A885" i="3"/>
  <c r="E920" i="3"/>
  <c r="F704" i="3"/>
  <c r="E1121" i="3"/>
  <c r="F654" i="3"/>
  <c r="A1411" i="3"/>
  <c r="A1045" i="3"/>
  <c r="A674" i="3"/>
  <c r="C1306" i="3"/>
  <c r="A971" i="3"/>
  <c r="B1332" i="3"/>
  <c r="B863" i="3"/>
  <c r="C869" i="3"/>
  <c r="F453" i="3"/>
  <c r="A582" i="3"/>
  <c r="B1000" i="3"/>
  <c r="C626" i="3"/>
  <c r="B209" i="3"/>
  <c r="D102" i="3"/>
  <c r="F587" i="3"/>
  <c r="D1058" i="3"/>
  <c r="D1321" i="3"/>
  <c r="B1070" i="3"/>
  <c r="E1360" i="3"/>
  <c r="F563" i="3"/>
  <c r="A107" i="3"/>
  <c r="D842" i="3"/>
  <c r="E1422" i="3"/>
  <c r="F1200" i="3"/>
  <c r="B1231" i="3"/>
  <c r="E1143" i="3"/>
  <c r="F468" i="3"/>
  <c r="F623" i="3"/>
  <c r="C1404" i="3"/>
  <c r="A1093" i="3"/>
  <c r="C756" i="3"/>
  <c r="B784" i="3"/>
  <c r="C1231" i="3"/>
  <c r="D999" i="3"/>
  <c r="C1081" i="3"/>
  <c r="D1365" i="3"/>
  <c r="D1221" i="3"/>
  <c r="E1214" i="3"/>
  <c r="B932" i="3"/>
  <c r="D612" i="3"/>
  <c r="A906" i="3"/>
  <c r="E704" i="3"/>
  <c r="C1155" i="3"/>
  <c r="C1354" i="3"/>
  <c r="D535" i="3"/>
  <c r="C840" i="3"/>
  <c r="D1333" i="3"/>
  <c r="B1334" i="3"/>
  <c r="B1209" i="3"/>
  <c r="C729" i="3"/>
  <c r="C310" i="3"/>
  <c r="E1068" i="3"/>
  <c r="A623" i="3"/>
  <c r="B1129" i="3"/>
  <c r="F774" i="3"/>
  <c r="E650" i="3"/>
  <c r="C211" i="3"/>
  <c r="B1369" i="3"/>
  <c r="F974" i="3"/>
  <c r="A1181" i="3"/>
  <c r="F966" i="3"/>
  <c r="A748" i="3"/>
  <c r="C750" i="3"/>
  <c r="C1057" i="3"/>
  <c r="E775" i="3"/>
  <c r="B1240" i="3"/>
  <c r="D160" i="3"/>
  <c r="A991" i="3"/>
  <c r="E682" i="3"/>
  <c r="A777" i="3"/>
  <c r="E1362" i="3"/>
  <c r="C1242" i="3"/>
  <c r="B1112" i="3"/>
  <c r="B706" i="3"/>
  <c r="C1174" i="3"/>
  <c r="B1308" i="3"/>
  <c r="F1112" i="3"/>
  <c r="E978" i="3"/>
  <c r="C903" i="3"/>
  <c r="A757" i="3"/>
  <c r="F631" i="3"/>
  <c r="F1101" i="3"/>
  <c r="D1270" i="3"/>
  <c r="D1366" i="3"/>
  <c r="C1194" i="3"/>
  <c r="B770" i="3"/>
  <c r="B349" i="3"/>
  <c r="E1377" i="3"/>
  <c r="E1066" i="3"/>
  <c r="E914" i="3"/>
  <c r="C652" i="3"/>
  <c r="A118" i="3"/>
  <c r="B1292" i="3"/>
  <c r="B1183" i="3"/>
  <c r="C1218" i="3"/>
  <c r="F1269" i="3"/>
  <c r="D570" i="3"/>
  <c r="F485" i="3"/>
  <c r="C533" i="3"/>
  <c r="B1011" i="3"/>
  <c r="A1390" i="3"/>
  <c r="D928" i="3"/>
  <c r="E1025" i="3"/>
  <c r="F1317" i="3"/>
  <c r="D864" i="3"/>
  <c r="F1252" i="3"/>
  <c r="A1413" i="3"/>
  <c r="E916" i="3"/>
  <c r="B214" i="3"/>
  <c r="C140" i="3"/>
  <c r="B845" i="3"/>
  <c r="B819" i="3"/>
  <c r="F777" i="3"/>
  <c r="F1189" i="3"/>
  <c r="B118" i="3"/>
  <c r="F644" i="3"/>
  <c r="C675" i="3"/>
  <c r="A780" i="3"/>
  <c r="C1235" i="3"/>
  <c r="B1005" i="3"/>
  <c r="B368" i="3"/>
  <c r="E827" i="3"/>
  <c r="E1184" i="3"/>
  <c r="B1253" i="3"/>
  <c r="E229" i="3"/>
  <c r="E534" i="3"/>
  <c r="D1141" i="3"/>
  <c r="D1208" i="3"/>
  <c r="C1362" i="3"/>
  <c r="E1284" i="3"/>
  <c r="D683" i="3"/>
  <c r="D885" i="3"/>
  <c r="C1248" i="3"/>
  <c r="F1271" i="3"/>
  <c r="F1253" i="3"/>
  <c r="F352" i="3"/>
  <c r="F793" i="3"/>
  <c r="B1153" i="3"/>
  <c r="E1052" i="3"/>
  <c r="A1330" i="3"/>
  <c r="C1246" i="3"/>
  <c r="D1095" i="3"/>
  <c r="A1415" i="3"/>
  <c r="F823" i="3"/>
  <c r="E220" i="3"/>
  <c r="C420" i="3"/>
  <c r="F1116" i="3"/>
  <c r="D1362" i="3"/>
  <c r="D765" i="3"/>
  <c r="B1355" i="3"/>
  <c r="C256" i="3"/>
  <c r="D1297" i="3"/>
  <c r="D920" i="3"/>
  <c r="D1338" i="3"/>
  <c r="D1346" i="3"/>
  <c r="D986" i="3"/>
  <c r="A562" i="3"/>
  <c r="E1178" i="3"/>
  <c r="F1178" i="3"/>
  <c r="F811" i="3"/>
  <c r="C1245" i="3"/>
  <c r="F286" i="3"/>
  <c r="B433" i="3"/>
  <c r="F978" i="3"/>
  <c r="B213" i="3"/>
  <c r="D702" i="3"/>
  <c r="A1100" i="3"/>
  <c r="C1139" i="3"/>
  <c r="E389" i="3"/>
  <c r="F1047" i="3"/>
  <c r="B971" i="3"/>
  <c r="E1413" i="3"/>
  <c r="C1087" i="3"/>
  <c r="E742" i="3"/>
  <c r="A669" i="3"/>
  <c r="E1240" i="3"/>
  <c r="D1298" i="3"/>
  <c r="A1088" i="3"/>
  <c r="C1285" i="3"/>
  <c r="E1127" i="3"/>
  <c r="C1126" i="3"/>
  <c r="A1008" i="3"/>
  <c r="B1116" i="3"/>
  <c r="F196" i="3"/>
  <c r="A1310" i="3"/>
  <c r="F434" i="3"/>
  <c r="C303" i="3"/>
  <c r="C643" i="3"/>
  <c r="F435" i="3"/>
  <c r="F614" i="3"/>
  <c r="F1307" i="3"/>
  <c r="E950" i="3"/>
  <c r="F810" i="3"/>
  <c r="E1039" i="3"/>
  <c r="E1055" i="3"/>
  <c r="D1290" i="3"/>
  <c r="A849" i="3"/>
  <c r="B1382" i="3"/>
  <c r="A254" i="3"/>
  <c r="A1350" i="3"/>
  <c r="F115" i="3"/>
  <c r="D1292" i="3"/>
  <c r="D939" i="3"/>
  <c r="B896" i="3"/>
  <c r="D1306" i="3"/>
  <c r="A859" i="3"/>
  <c r="C1382" i="3"/>
  <c r="E1397" i="3"/>
  <c r="B512" i="3"/>
  <c r="A1410" i="3"/>
  <c r="B171" i="3"/>
  <c r="F1043" i="3"/>
  <c r="F872" i="3"/>
  <c r="D1308" i="3"/>
  <c r="E1269" i="3"/>
  <c r="B1102" i="3"/>
  <c r="F1216" i="3"/>
  <c r="C1210" i="3"/>
  <c r="C1140" i="3"/>
  <c r="A1305" i="3"/>
  <c r="A922" i="3"/>
  <c r="E1301" i="3"/>
  <c r="C867" i="3"/>
  <c r="E892" i="3"/>
  <c r="A968" i="3"/>
  <c r="E1216" i="3"/>
  <c r="D1109" i="3"/>
  <c r="C775" i="3"/>
  <c r="B716" i="3"/>
  <c r="E1132" i="3"/>
  <c r="B1232" i="3"/>
  <c r="F1350" i="3"/>
  <c r="A516" i="3"/>
  <c r="A1006" i="3"/>
  <c r="E831" i="3"/>
  <c r="A597" i="3"/>
  <c r="D1364" i="3"/>
  <c r="F741" i="3"/>
  <c r="B999" i="3"/>
  <c r="B1244" i="3"/>
  <c r="F976" i="3"/>
  <c r="D597" i="3"/>
  <c r="D1227" i="3"/>
  <c r="F1069" i="3"/>
  <c r="A895" i="3"/>
  <c r="B912" i="3"/>
  <c r="A1356" i="3"/>
  <c r="D145" i="3"/>
  <c r="C1300" i="3"/>
  <c r="D950" i="3"/>
  <c r="B501" i="3"/>
  <c r="A1187" i="3"/>
  <c r="E1385" i="3"/>
  <c r="E1353" i="3"/>
  <c r="E437" i="3"/>
  <c r="B1025" i="3"/>
  <c r="C971" i="3"/>
  <c r="D1195" i="3"/>
  <c r="C761" i="3"/>
  <c r="E700" i="3"/>
  <c r="A1111" i="3"/>
  <c r="E677" i="3"/>
  <c r="C603" i="3"/>
  <c r="F1159" i="3"/>
  <c r="E1086" i="3"/>
  <c r="C1070" i="3"/>
  <c r="C1058" i="3"/>
  <c r="F1287" i="3"/>
  <c r="B1260" i="3"/>
  <c r="A1123" i="3"/>
  <c r="A837" i="3"/>
  <c r="F1060" i="3"/>
  <c r="C1023" i="3"/>
  <c r="E938" i="3"/>
  <c r="C1109" i="3"/>
  <c r="D816" i="3"/>
  <c r="E603" i="3"/>
  <c r="E636" i="3"/>
  <c r="A889" i="3"/>
  <c r="F1360" i="3"/>
  <c r="E329" i="3"/>
  <c r="B718" i="3"/>
  <c r="B1075" i="3"/>
  <c r="F1275" i="3"/>
  <c r="F1080" i="3"/>
  <c r="F988" i="3"/>
  <c r="A714" i="3"/>
  <c r="C1012" i="3"/>
  <c r="D649" i="3"/>
  <c r="D461" i="3"/>
  <c r="F1242" i="3"/>
  <c r="B922" i="3"/>
  <c r="B695" i="3"/>
  <c r="B1152" i="3"/>
  <c r="F888" i="3"/>
  <c r="D930" i="3"/>
  <c r="A933" i="3"/>
  <c r="F1120" i="3"/>
  <c r="F759" i="3"/>
  <c r="E1373" i="3"/>
  <c r="A537" i="3"/>
  <c r="E1205" i="3"/>
  <c r="B1113" i="3"/>
  <c r="D689" i="3"/>
  <c r="D1406" i="3"/>
  <c r="A1414" i="3"/>
  <c r="E578" i="3"/>
  <c r="A835" i="3"/>
  <c r="A552" i="3"/>
  <c r="E1207" i="3"/>
  <c r="A1053" i="3"/>
  <c r="D1348" i="3"/>
  <c r="F800" i="3"/>
  <c r="D954" i="3"/>
  <c r="B482" i="3"/>
  <c r="B1208" i="3"/>
  <c r="F547" i="3"/>
  <c r="B631" i="3"/>
  <c r="D1176" i="3"/>
  <c r="C454" i="3"/>
  <c r="A1031" i="3"/>
  <c r="B1079" i="3"/>
  <c r="D555" i="3"/>
  <c r="C1135" i="3"/>
  <c r="F914" i="3"/>
  <c r="A995" i="3"/>
  <c r="D1178" i="3"/>
  <c r="E1170" i="3"/>
  <c r="C1170" i="3"/>
  <c r="A1034" i="3"/>
  <c r="B1321" i="3"/>
  <c r="A788" i="3"/>
  <c r="A806" i="3"/>
  <c r="D959" i="3"/>
  <c r="C577" i="3"/>
  <c r="B1182" i="3"/>
  <c r="D989" i="3"/>
  <c r="D1112" i="3"/>
  <c r="E1061" i="3"/>
  <c r="D86" i="3"/>
  <c r="A1018" i="3"/>
  <c r="F390" i="3"/>
  <c r="D282" i="3"/>
  <c r="F1158" i="3"/>
  <c r="D1371" i="3"/>
  <c r="D1173" i="3"/>
  <c r="D1135" i="3"/>
  <c r="A1110" i="3"/>
  <c r="E697" i="3"/>
  <c r="D1189" i="3"/>
  <c r="C1007" i="3"/>
  <c r="A832" i="3"/>
  <c r="C501" i="3"/>
  <c r="D88" i="3"/>
  <c r="C1061" i="3"/>
  <c r="B661" i="3"/>
  <c r="C1309" i="3"/>
  <c r="D809" i="3"/>
  <c r="A1277" i="3"/>
  <c r="C1032" i="3"/>
  <c r="F866" i="3"/>
  <c r="F836" i="3"/>
  <c r="D440" i="3"/>
  <c r="D792" i="3"/>
  <c r="C723" i="3"/>
  <c r="F901" i="3"/>
  <c r="B599" i="3"/>
  <c r="A1294" i="3"/>
  <c r="C1162" i="3"/>
  <c r="F581" i="3"/>
  <c r="E1112" i="3"/>
  <c r="E1255" i="3"/>
  <c r="D833" i="3"/>
  <c r="A787" i="3"/>
  <c r="B684" i="3"/>
  <c r="B1205" i="3"/>
  <c r="E764" i="3"/>
  <c r="C927" i="3"/>
  <c r="D1282" i="3"/>
  <c r="B1263" i="3"/>
  <c r="F1154" i="3"/>
  <c r="C858" i="3"/>
  <c r="E1307" i="3"/>
  <c r="F1259" i="3"/>
  <c r="D40" i="3"/>
  <c r="C1257" i="3"/>
  <c r="B964" i="3"/>
  <c r="D712" i="3"/>
  <c r="D873" i="3"/>
  <c r="B424" i="3"/>
  <c r="A1370" i="3"/>
  <c r="D805" i="3"/>
  <c r="D1304" i="3"/>
  <c r="E648" i="3"/>
  <c r="D840" i="3"/>
  <c r="B653" i="3"/>
  <c r="A1283" i="3"/>
  <c r="B245" i="3"/>
  <c r="E1011" i="3"/>
  <c r="E1059" i="3"/>
  <c r="F861" i="3"/>
  <c r="A1248" i="3"/>
  <c r="B505" i="3"/>
  <c r="E686" i="3"/>
  <c r="B1074" i="3"/>
  <c r="C1372" i="3"/>
  <c r="E1180" i="3"/>
  <c r="F1368" i="3"/>
  <c r="D1184" i="3"/>
  <c r="E1406" i="3"/>
  <c r="E1078" i="3"/>
  <c r="C1343" i="3"/>
  <c r="E876" i="3"/>
  <c r="B1316" i="3"/>
  <c r="F849" i="3"/>
  <c r="C794" i="3"/>
  <c r="D273" i="3"/>
  <c r="B488" i="3"/>
  <c r="E342" i="3"/>
  <c r="D262" i="3"/>
  <c r="C1365" i="3"/>
  <c r="A1236" i="3"/>
  <c r="D476" i="3"/>
  <c r="B1050" i="3"/>
  <c r="E530" i="3"/>
  <c r="C878" i="3"/>
  <c r="C1069" i="3"/>
  <c r="C240" i="3"/>
  <c r="F1233" i="3"/>
  <c r="E246" i="3"/>
  <c r="B1206" i="3"/>
  <c r="F629" i="3"/>
  <c r="E1231" i="3"/>
  <c r="D1419" i="3"/>
  <c r="B1398" i="3"/>
  <c r="B1084" i="3"/>
  <c r="D379" i="3"/>
  <c r="A1406" i="3"/>
  <c r="F1305" i="3"/>
  <c r="C1025" i="3"/>
  <c r="C977" i="3"/>
  <c r="A797" i="3"/>
  <c r="C1287" i="3"/>
  <c r="C1216" i="3"/>
  <c r="E780" i="3"/>
  <c r="F845" i="3"/>
  <c r="C716" i="3"/>
  <c r="D643" i="3"/>
  <c r="D574" i="3"/>
  <c r="B385" i="3"/>
  <c r="D825" i="3"/>
  <c r="D1357" i="3"/>
  <c r="A707" i="3"/>
  <c r="D600" i="3"/>
  <c r="D1318" i="3"/>
  <c r="C837" i="3"/>
  <c r="B1221" i="3"/>
  <c r="E1398" i="3"/>
  <c r="A197" i="3"/>
  <c r="B883" i="3"/>
  <c r="B551" i="3"/>
  <c r="A902" i="3"/>
  <c r="B1289" i="3"/>
  <c r="E964" i="3"/>
  <c r="D142" i="3"/>
  <c r="D397" i="3"/>
  <c r="A1239" i="3"/>
  <c r="C631" i="3"/>
  <c r="B620" i="3"/>
  <c r="C876" i="3"/>
  <c r="E1304" i="3"/>
  <c r="D1313" i="3"/>
  <c r="A1416" i="3"/>
  <c r="D1315" i="3"/>
  <c r="E1366" i="3"/>
  <c r="B563" i="3"/>
  <c r="A677" i="3"/>
  <c r="E568" i="3"/>
  <c r="F1143" i="3"/>
  <c r="D1355" i="3"/>
  <c r="F565" i="3"/>
  <c r="D1424" i="3"/>
  <c r="E825" i="3"/>
  <c r="B1127" i="3"/>
  <c r="D1249" i="3"/>
  <c r="F1088" i="3"/>
  <c r="E1254" i="3"/>
  <c r="B1279" i="3"/>
  <c r="B1202" i="3"/>
  <c r="C806" i="3"/>
  <c r="F843" i="3"/>
  <c r="E1149" i="3"/>
  <c r="D568" i="3"/>
  <c r="E1386" i="3"/>
  <c r="A611" i="3"/>
  <c r="B1335" i="3"/>
  <c r="B824" i="3"/>
  <c r="C759" i="3"/>
  <c r="E1287" i="3"/>
  <c r="D414" i="3"/>
  <c r="C1322" i="3"/>
  <c r="D1182" i="3"/>
  <c r="F1126" i="3"/>
  <c r="C426" i="3"/>
  <c r="F672" i="3"/>
  <c r="C1276" i="3"/>
  <c r="D692" i="3"/>
  <c r="E957" i="3"/>
  <c r="B1147" i="3"/>
  <c r="A944" i="3"/>
  <c r="C1312" i="3"/>
  <c r="B969" i="3"/>
  <c r="A1101" i="3"/>
  <c r="D863" i="3"/>
  <c r="F918" i="3"/>
  <c r="B490" i="3"/>
  <c r="A461" i="3"/>
  <c r="C792" i="3"/>
  <c r="F701" i="3"/>
  <c r="A1302" i="3"/>
  <c r="D1192" i="3"/>
  <c r="F1402" i="3"/>
  <c r="B1192" i="3"/>
  <c r="D1139" i="3"/>
  <c r="B702" i="3"/>
  <c r="C1290" i="3"/>
  <c r="A886" i="3"/>
  <c r="D793" i="3"/>
  <c r="A767" i="3"/>
  <c r="C589" i="3"/>
  <c r="B738" i="3"/>
  <c r="E404" i="3"/>
  <c r="F1339" i="3"/>
  <c r="A215" i="3"/>
  <c r="C1000" i="3"/>
  <c r="C730" i="3"/>
  <c r="D1121" i="3"/>
  <c r="B1329" i="3"/>
  <c r="D363" i="3"/>
  <c r="A732" i="3"/>
  <c r="C697" i="3"/>
  <c r="E844" i="3"/>
  <c r="D459" i="3"/>
  <c r="C1202" i="3"/>
  <c r="B821" i="3"/>
  <c r="A1192" i="3"/>
  <c r="A1011" i="3"/>
  <c r="A502" i="3"/>
  <c r="E321" i="3"/>
  <c r="C1119" i="3"/>
  <c r="B654" i="3"/>
  <c r="A1421" i="3"/>
  <c r="C141" i="3"/>
  <c r="B909" i="3"/>
  <c r="B1175" i="3"/>
  <c r="C1409" i="3"/>
  <c r="F1335" i="3"/>
  <c r="E18" i="3"/>
  <c r="C1323" i="3"/>
  <c r="E1408" i="3"/>
  <c r="A1389" i="3"/>
  <c r="E1212" i="3"/>
  <c r="D14" i="3"/>
  <c r="F1022" i="3"/>
  <c r="D854" i="3"/>
  <c r="A1047" i="3"/>
  <c r="A288" i="3"/>
  <c r="F1384" i="3"/>
  <c r="A645" i="3"/>
  <c r="B1163" i="3"/>
  <c r="A977" i="3"/>
  <c r="F1263" i="3"/>
  <c r="F752" i="3"/>
  <c r="B692" i="3"/>
  <c r="F1303" i="3"/>
  <c r="F146" i="3"/>
  <c r="B321" i="3"/>
  <c r="D561" i="3"/>
  <c r="D1327" i="3"/>
  <c r="A1221" i="3"/>
  <c r="E1364" i="3"/>
  <c r="A1219" i="3"/>
  <c r="B50" i="3"/>
  <c r="E647" i="3"/>
  <c r="F952" i="3"/>
  <c r="D310" i="3"/>
  <c r="C1110" i="3"/>
  <c r="E800" i="3"/>
  <c r="A1039" i="3"/>
  <c r="A1179" i="3"/>
  <c r="B1219" i="3"/>
  <c r="B395" i="3"/>
  <c r="C1324" i="3"/>
  <c r="D914" i="3"/>
  <c r="C622" i="3"/>
  <c r="C1250" i="3"/>
  <c r="D1280" i="3"/>
  <c r="D841" i="3"/>
  <c r="F1055" i="3"/>
  <c r="D877" i="3"/>
  <c r="C947" i="3"/>
  <c r="D455" i="3"/>
  <c r="A1336" i="3"/>
  <c r="F1358" i="3"/>
  <c r="F517" i="3"/>
  <c r="D1105" i="3"/>
  <c r="F876" i="3"/>
  <c r="F1182" i="3"/>
  <c r="F1243" i="3"/>
  <c r="B1065" i="3"/>
  <c r="A1049" i="3"/>
  <c r="A1169" i="3"/>
  <c r="F585" i="3"/>
  <c r="B1295" i="3"/>
  <c r="B1412" i="3"/>
  <c r="D1400" i="3"/>
  <c r="F1362" i="3"/>
  <c r="D1090" i="3"/>
  <c r="B1247" i="3"/>
  <c r="F982" i="3"/>
  <c r="B771" i="3"/>
  <c r="E1242" i="3"/>
  <c r="A1043" i="3"/>
  <c r="E1114" i="3"/>
  <c r="F751" i="3"/>
  <c r="B448" i="3"/>
  <c r="B997" i="3"/>
  <c r="E1087" i="3"/>
  <c r="B624" i="3"/>
  <c r="E746" i="3"/>
  <c r="A1341" i="3"/>
  <c r="B1386" i="3"/>
  <c r="B1415" i="3"/>
  <c r="B1394" i="3"/>
  <c r="B419" i="3"/>
  <c r="B1144" i="3"/>
  <c r="C591" i="3"/>
  <c r="B581" i="3"/>
  <c r="D903" i="3"/>
  <c r="E569" i="3"/>
  <c r="E707" i="3"/>
  <c r="A926" i="3"/>
  <c r="A1124" i="3"/>
  <c r="C1396" i="3"/>
  <c r="C933" i="3"/>
  <c r="C1004" i="3"/>
  <c r="F892" i="3"/>
  <c r="D1340" i="3"/>
  <c r="A507" i="3"/>
  <c r="D456" i="3"/>
  <c r="A805" i="3"/>
  <c r="A576" i="3"/>
  <c r="D1070" i="3"/>
  <c r="A738" i="3"/>
  <c r="A1324" i="3"/>
  <c r="F1147" i="3"/>
  <c r="C1038" i="3"/>
  <c r="A1259" i="3"/>
  <c r="E1192" i="3"/>
  <c r="D599" i="3"/>
  <c r="C1033" i="3"/>
  <c r="E407" i="3"/>
  <c r="A761" i="3"/>
  <c r="D504" i="3"/>
  <c r="C614" i="3"/>
  <c r="E1018" i="3"/>
  <c r="C1030" i="3"/>
  <c r="B1393" i="3"/>
  <c r="C184" i="3"/>
  <c r="D1232" i="3"/>
  <c r="A1083" i="3"/>
  <c r="B234" i="3"/>
  <c r="D671" i="3"/>
  <c r="E483" i="3"/>
  <c r="C1308" i="3"/>
  <c r="C1075" i="3"/>
  <c r="A783" i="3"/>
  <c r="A1154" i="3"/>
  <c r="D509" i="3"/>
  <c r="D540" i="3"/>
  <c r="B1044" i="3"/>
  <c r="A846" i="3"/>
  <c r="C1342" i="3"/>
  <c r="D1223" i="3"/>
  <c r="B554" i="3"/>
  <c r="A567" i="3"/>
  <c r="E1400" i="3"/>
  <c r="A1080" i="3"/>
  <c r="C1240" i="3"/>
  <c r="B1401" i="3"/>
  <c r="B846" i="3"/>
  <c r="E1122" i="3"/>
  <c r="F1238" i="3"/>
  <c r="D1201" i="3"/>
  <c r="C1130" i="3"/>
  <c r="D1160" i="3"/>
  <c r="D636" i="3"/>
  <c r="E1200" i="3"/>
  <c r="C764" i="3"/>
  <c r="E1379" i="3"/>
  <c r="E1051" i="3"/>
  <c r="B99" i="3"/>
  <c r="B871" i="3"/>
  <c r="B1406" i="3"/>
  <c r="C802" i="3"/>
  <c r="B1309" i="3"/>
  <c r="D1323" i="3"/>
  <c r="F516" i="3"/>
  <c r="F1092" i="3"/>
  <c r="F1342" i="3"/>
  <c r="A1274" i="3"/>
  <c r="C1267" i="3"/>
  <c r="D1379" i="3"/>
  <c r="D1377" i="3"/>
  <c r="E1305" i="3"/>
  <c r="B694" i="3"/>
  <c r="C252" i="3"/>
  <c r="B1238" i="3"/>
  <c r="C889" i="3"/>
  <c r="A354" i="3"/>
  <c r="F990" i="3"/>
  <c r="E861" i="3"/>
  <c r="C456" i="3"/>
  <c r="E380" i="3"/>
  <c r="B344" i="3"/>
  <c r="F785" i="3"/>
  <c r="C1293" i="3"/>
  <c r="C1097" i="3"/>
  <c r="A819" i="3"/>
  <c r="C1413" i="3"/>
  <c r="B916" i="3"/>
  <c r="D770" i="3"/>
  <c r="D888" i="3"/>
  <c r="D1396" i="3"/>
  <c r="B646" i="3"/>
  <c r="C1412" i="3"/>
  <c r="B1199" i="3"/>
  <c r="F806" i="3"/>
  <c r="F1245" i="3"/>
  <c r="E1104" i="3"/>
  <c r="A186" i="3"/>
  <c r="C1173" i="3"/>
  <c r="B906" i="3"/>
  <c r="F224" i="3"/>
  <c r="D934" i="3"/>
  <c r="A833" i="3"/>
  <c r="F1382" i="3"/>
  <c r="B201" i="3"/>
  <c r="D1360" i="3"/>
  <c r="F924" i="3"/>
  <c r="F1361" i="3"/>
  <c r="F1058" i="3"/>
  <c r="F1283" i="3"/>
  <c r="A279" i="3"/>
  <c r="D737" i="3"/>
  <c r="F398" i="3"/>
  <c r="B759" i="3"/>
  <c r="C930" i="3"/>
  <c r="D992" i="3"/>
  <c r="D485" i="3"/>
  <c r="E1319" i="3"/>
  <c r="E1317" i="3"/>
  <c r="C744" i="3"/>
  <c r="F592" i="3"/>
  <c r="E1062" i="3"/>
  <c r="F971" i="3"/>
  <c r="F796" i="3"/>
  <c r="D1110" i="3"/>
  <c r="A1212" i="3"/>
  <c r="D1150" i="3"/>
  <c r="D466" i="3"/>
  <c r="C884" i="3"/>
  <c r="B818" i="3"/>
  <c r="D1151" i="3"/>
  <c r="D1191" i="3"/>
  <c r="E945" i="3"/>
  <c r="C949" i="3"/>
  <c r="E960" i="3"/>
  <c r="A1252" i="3"/>
  <c r="A1269" i="3"/>
  <c r="F1020" i="3"/>
  <c r="E1167" i="3"/>
  <c r="A1346" i="3"/>
  <c r="C1204" i="3"/>
  <c r="F1294" i="3"/>
  <c r="D889" i="3"/>
  <c r="A1401" i="3"/>
  <c r="E1119" i="3"/>
  <c r="F1226" i="3"/>
  <c r="F744" i="3"/>
  <c r="F1174" i="3"/>
  <c r="D1402" i="3"/>
  <c r="B675" i="3"/>
  <c r="D1367" i="3"/>
  <c r="E1102" i="3"/>
  <c r="E976" i="3"/>
  <c r="E1246" i="3"/>
  <c r="A355" i="3"/>
  <c r="C1253" i="3"/>
  <c r="C1156" i="3"/>
  <c r="C960" i="3"/>
  <c r="F1418" i="3"/>
  <c r="E1363" i="3"/>
  <c r="F714" i="3"/>
  <c r="A776" i="3"/>
  <c r="D1085" i="3"/>
  <c r="E811" i="3"/>
  <c r="F1276" i="3"/>
  <c r="F929" i="3"/>
  <c r="C805" i="3"/>
  <c r="D1206" i="3"/>
  <c r="C1353" i="3"/>
  <c r="C685" i="3"/>
  <c r="A744" i="3"/>
  <c r="C1295" i="3"/>
  <c r="D399" i="3"/>
  <c r="D682" i="3"/>
  <c r="C1259" i="3"/>
  <c r="F1397" i="3"/>
  <c r="D374" i="3"/>
  <c r="D867" i="3"/>
  <c r="B1421" i="3"/>
  <c r="A1094" i="3"/>
  <c r="D1169" i="3"/>
  <c r="E881" i="3"/>
  <c r="D1363" i="3"/>
  <c r="A1158" i="3"/>
  <c r="C45" i="3"/>
  <c r="D1078" i="3"/>
  <c r="E1199" i="3"/>
  <c r="B583" i="3"/>
  <c r="F1129" i="3"/>
  <c r="B687" i="3"/>
  <c r="F552" i="3"/>
  <c r="F1134" i="3"/>
  <c r="F1272" i="3"/>
  <c r="C557" i="3"/>
  <c r="A1332" i="3"/>
  <c r="F81" i="3"/>
  <c r="A331" i="3"/>
  <c r="D1156" i="3"/>
  <c r="C1249" i="3"/>
  <c r="B855" i="3"/>
  <c r="D984" i="3"/>
  <c r="D733" i="3"/>
  <c r="B633" i="3"/>
  <c r="D362" i="3"/>
  <c r="A749" i="3"/>
  <c r="A903" i="3"/>
  <c r="C1316" i="3"/>
  <c r="D621" i="3"/>
  <c r="B1322" i="3"/>
  <c r="E1187" i="3"/>
  <c r="D644" i="3"/>
  <c r="F881" i="3"/>
  <c r="F959" i="3"/>
  <c r="A1347" i="3"/>
  <c r="C1013" i="3"/>
  <c r="B1018" i="3"/>
  <c r="F985" i="3"/>
  <c r="C494" i="3"/>
  <c r="A598" i="3"/>
  <c r="C1113" i="3"/>
  <c r="F690" i="3"/>
  <c r="B820" i="3"/>
  <c r="A634" i="3"/>
  <c r="F1231" i="3"/>
  <c r="C1225" i="3"/>
  <c r="A323" i="3"/>
  <c r="F8" i="3"/>
  <c r="E782" i="3"/>
  <c r="D1350" i="3"/>
  <c r="D1375" i="3"/>
  <c r="E1146" i="3"/>
  <c r="A712" i="3"/>
  <c r="B792" i="3"/>
  <c r="A1013" i="3"/>
  <c r="A434" i="3"/>
  <c r="E808" i="3"/>
  <c r="D1276" i="3"/>
  <c r="C1022" i="3"/>
  <c r="E883" i="3"/>
  <c r="E1354" i="3"/>
  <c r="A1149" i="3"/>
  <c r="B498" i="3"/>
  <c r="A572" i="3"/>
  <c r="D1255" i="3"/>
  <c r="E1302" i="3"/>
  <c r="B1353" i="3"/>
  <c r="A204" i="3"/>
  <c r="F350" i="3"/>
  <c r="E963" i="3"/>
  <c r="A1357" i="3"/>
  <c r="C623" i="3"/>
  <c r="F1380" i="3"/>
  <c r="E696" i="3"/>
  <c r="D248" i="3"/>
  <c r="E983" i="3"/>
  <c r="C1115" i="3"/>
  <c r="C1215" i="3"/>
  <c r="C791" i="3"/>
  <c r="A861" i="3"/>
  <c r="A1066" i="3"/>
  <c r="F1105" i="3"/>
  <c r="E1311" i="3"/>
  <c r="C1406" i="3"/>
  <c r="C1046" i="3"/>
  <c r="F1100" i="3"/>
  <c r="C669" i="3"/>
  <c r="C1026" i="3"/>
  <c r="D1066" i="3"/>
  <c r="F850" i="3"/>
  <c r="D1349" i="3"/>
  <c r="B1194" i="3"/>
  <c r="F687" i="3"/>
  <c r="A1316" i="3"/>
  <c r="B615" i="3"/>
  <c r="C902" i="3"/>
  <c r="F1118" i="3"/>
  <c r="A1118" i="3"/>
  <c r="B895" i="3"/>
  <c r="D908" i="3"/>
  <c r="F930" i="3"/>
  <c r="D634" i="3"/>
  <c r="C1403" i="3"/>
  <c r="E1085" i="3"/>
  <c r="E673" i="3"/>
  <c r="E537" i="3"/>
  <c r="A684" i="3"/>
  <c r="F935" i="3"/>
  <c r="E1356" i="3"/>
  <c r="B765" i="3"/>
  <c r="E577" i="3"/>
  <c r="C1284" i="3"/>
  <c r="D979" i="3"/>
  <c r="F596" i="3"/>
  <c r="E1091" i="3"/>
  <c r="F1061" i="3"/>
  <c r="E1402" i="3"/>
  <c r="A1130" i="3"/>
  <c r="C1256" i="3"/>
  <c r="B1141" i="3"/>
  <c r="F1336" i="3"/>
  <c r="E955" i="3"/>
  <c r="C1183" i="3"/>
  <c r="A595" i="3"/>
  <c r="C1226" i="3"/>
  <c r="D1166" i="3"/>
  <c r="D1123" i="3"/>
  <c r="D478" i="3"/>
  <c r="D713" i="3"/>
  <c r="D489" i="3"/>
  <c r="D357" i="3"/>
  <c r="E1227" i="3"/>
  <c r="C64" i="3"/>
  <c r="B593" i="3"/>
  <c r="D1244" i="3"/>
  <c r="C1095" i="3"/>
  <c r="B1056" i="3"/>
  <c r="A1155" i="3"/>
  <c r="A524" i="3"/>
  <c r="E198" i="3"/>
  <c r="B732" i="3"/>
  <c r="D394" i="3"/>
  <c r="C1028" i="3"/>
  <c r="C683" i="3"/>
  <c r="E694" i="3"/>
  <c r="B1106" i="3"/>
  <c r="A1063" i="3"/>
  <c r="D128" i="3"/>
  <c r="B889" i="3"/>
  <c r="C1020" i="3"/>
  <c r="B88" i="3"/>
  <c r="A198" i="3"/>
  <c r="D1235" i="3"/>
  <c r="E1272" i="3"/>
  <c r="E1015" i="3"/>
  <c r="F772" i="3"/>
  <c r="C1277" i="3"/>
  <c r="A621" i="3"/>
  <c r="F729" i="3"/>
  <c r="B533" i="3"/>
  <c r="B1268" i="3"/>
  <c r="A1369" i="3"/>
  <c r="F1076" i="3"/>
  <c r="F1378" i="3"/>
  <c r="B1290" i="3"/>
  <c r="C1315" i="3"/>
  <c r="F737" i="3"/>
  <c r="A745" i="3"/>
  <c r="E1168" i="3"/>
  <c r="F1319" i="3"/>
  <c r="C1389" i="3"/>
  <c r="C861" i="3"/>
  <c r="E728" i="3"/>
  <c r="C1138" i="3"/>
  <c r="B570" i="3"/>
  <c r="B1157" i="3"/>
  <c r="F948" i="3"/>
  <c r="C606" i="3"/>
  <c r="E753" i="3"/>
  <c r="E1130" i="3"/>
  <c r="D1408" i="3"/>
  <c r="B947" i="3"/>
  <c r="A747" i="3"/>
  <c r="B1216" i="3"/>
  <c r="C134" i="3"/>
  <c r="F825" i="3"/>
  <c r="B1062" i="3"/>
  <c r="F1202" i="3"/>
  <c r="F612" i="3"/>
  <c r="F498" i="3"/>
  <c r="C1159" i="3"/>
  <c r="E1128" i="3"/>
  <c r="C1182" i="3"/>
  <c r="F913" i="3"/>
  <c r="C1286" i="3"/>
  <c r="C898" i="3"/>
  <c r="D619" i="3"/>
  <c r="D148" i="3"/>
  <c r="D1296" i="3"/>
  <c r="C181" i="3"/>
  <c r="B1105" i="3"/>
  <c r="A300" i="3"/>
  <c r="B1057" i="3"/>
  <c r="D1148" i="3"/>
  <c r="C676" i="3"/>
  <c r="E913" i="3"/>
  <c r="E1417" i="3"/>
  <c r="D690" i="3"/>
  <c r="A775" i="3"/>
  <c r="D1181" i="3"/>
  <c r="B865" i="3"/>
  <c r="C1360" i="3"/>
  <c r="E579" i="3"/>
  <c r="A1232" i="3"/>
  <c r="C1037" i="3"/>
  <c r="A694" i="3"/>
  <c r="A670" i="3"/>
  <c r="B1390" i="3"/>
  <c r="E929" i="3"/>
  <c r="B721" i="3"/>
  <c r="D987" i="3"/>
  <c r="F641" i="3"/>
  <c r="E1113" i="3"/>
  <c r="B1052" i="3"/>
  <c r="E1355" i="3"/>
  <c r="B1362" i="3"/>
  <c r="F1071" i="3"/>
  <c r="B685" i="3"/>
  <c r="F389" i="3"/>
  <c r="F1019" i="3"/>
  <c r="F324" i="3"/>
  <c r="E947" i="3"/>
  <c r="B665" i="3"/>
  <c r="A399" i="3"/>
  <c r="F906" i="3"/>
  <c r="D1391" i="3"/>
  <c r="D1279" i="3"/>
  <c r="D711" i="3"/>
  <c r="F773" i="3"/>
  <c r="D116" i="3"/>
  <c r="A654" i="3"/>
  <c r="C1145" i="3"/>
  <c r="E1346" i="3"/>
  <c r="D626" i="3"/>
  <c r="E1183" i="3"/>
  <c r="C770" i="3"/>
  <c r="C607" i="3"/>
  <c r="E1390" i="3"/>
  <c r="F937" i="3"/>
  <c r="E1028" i="3"/>
  <c r="D1267" i="3"/>
  <c r="C945" i="3"/>
  <c r="D447" i="3"/>
  <c r="F860" i="3"/>
  <c r="B953" i="3"/>
  <c r="E1298" i="3"/>
  <c r="A1207" i="3"/>
  <c r="E909" i="3"/>
  <c r="C597" i="3"/>
  <c r="E661" i="3"/>
  <c r="D505" i="3"/>
  <c r="F1170" i="3"/>
  <c r="C932" i="3"/>
  <c r="F995" i="3"/>
  <c r="F912" i="3"/>
  <c r="B1424" i="3"/>
  <c r="A448" i="3"/>
  <c r="F740" i="3"/>
  <c r="B535" i="3"/>
  <c r="E1309" i="3"/>
  <c r="F341" i="3"/>
  <c r="C944" i="3"/>
  <c r="C996" i="3"/>
  <c r="B541" i="3"/>
  <c r="A1150" i="3"/>
  <c r="C724" i="3"/>
  <c r="D1006" i="3"/>
  <c r="F1330" i="3"/>
  <c r="D1157" i="3"/>
  <c r="E513" i="3"/>
  <c r="D898" i="3"/>
  <c r="C871" i="3"/>
  <c r="D997" i="3"/>
  <c r="C1238" i="3"/>
  <c r="B798" i="3"/>
  <c r="A1145" i="3"/>
  <c r="F1399" i="3"/>
  <c r="F339" i="3"/>
  <c r="E1136" i="3"/>
  <c r="E932" i="3"/>
  <c r="C481" i="3"/>
  <c r="F883" i="3"/>
  <c r="E1399" i="3"/>
  <c r="E1219" i="3"/>
  <c r="C562" i="3"/>
  <c r="A558" i="3"/>
  <c r="A58" i="3"/>
  <c r="A335" i="3"/>
  <c r="B1132" i="3"/>
  <c r="C820" i="3"/>
  <c r="C1065" i="3"/>
  <c r="D957" i="3"/>
  <c r="E563" i="3"/>
  <c r="E684" i="3"/>
  <c r="E985" i="3"/>
  <c r="A437" i="3"/>
  <c r="C244" i="3"/>
  <c r="D260" i="3"/>
  <c r="F1326" i="3"/>
  <c r="B955" i="3"/>
  <c r="C841" i="3"/>
  <c r="A1086" i="3"/>
  <c r="C786" i="3"/>
  <c r="B1318" i="3"/>
  <c r="E1024" i="3"/>
  <c r="F784" i="3"/>
  <c r="A602" i="3"/>
  <c r="F1004" i="3"/>
  <c r="D797" i="3"/>
  <c r="D1258" i="3"/>
  <c r="A521" i="3"/>
  <c r="A561" i="3"/>
  <c r="F833" i="3"/>
  <c r="F632" i="3"/>
  <c r="B1417" i="3"/>
  <c r="D1225" i="3"/>
  <c r="C835" i="3"/>
  <c r="E1234" i="3"/>
  <c r="A1028" i="3"/>
  <c r="E1124" i="3"/>
  <c r="F1401" i="3"/>
  <c r="E1057" i="3"/>
  <c r="B137" i="3"/>
  <c r="D1017" i="3"/>
  <c r="B1354" i="3"/>
  <c r="C1254" i="3"/>
  <c r="C970" i="3"/>
  <c r="F604" i="3"/>
  <c r="D965" i="3"/>
  <c r="E410" i="3"/>
  <c r="D1287" i="3"/>
  <c r="E1299" i="3"/>
  <c r="B17" i="3"/>
  <c r="F1108" i="3"/>
  <c r="A583" i="3"/>
  <c r="B1085" i="3"/>
  <c r="E994" i="3"/>
  <c r="B1173" i="3"/>
  <c r="F1135" i="3"/>
  <c r="F310" i="3"/>
  <c r="C1395" i="3"/>
  <c r="F896" i="3"/>
  <c r="C1098" i="3"/>
  <c r="A98" i="3"/>
  <c r="F766" i="3"/>
  <c r="E1058" i="3"/>
  <c r="D974" i="3"/>
  <c r="B1191" i="3"/>
  <c r="E949" i="3"/>
  <c r="A1295" i="3"/>
  <c r="B205" i="3"/>
  <c r="A646" i="3"/>
  <c r="F1239" i="3"/>
  <c r="F616" i="3"/>
  <c r="C710" i="3"/>
  <c r="B998" i="3"/>
  <c r="E893" i="3"/>
  <c r="D1291" i="3"/>
  <c r="B1337" i="3"/>
  <c r="A1210" i="3"/>
  <c r="E423" i="3"/>
  <c r="F1141" i="3"/>
  <c r="D1041" i="3"/>
  <c r="F805" i="3"/>
  <c r="F1355" i="3"/>
  <c r="A962" i="3"/>
  <c r="E713" i="3"/>
  <c r="E1135" i="3"/>
  <c r="C1041" i="3"/>
  <c r="D511" i="3"/>
  <c r="D625" i="3"/>
  <c r="A866" i="3"/>
  <c r="C449" i="3"/>
  <c r="C1421" i="3"/>
  <c r="B1307" i="3"/>
  <c r="A1405" i="3"/>
  <c r="F1037" i="3"/>
  <c r="E1131" i="3"/>
  <c r="B934" i="3"/>
  <c r="D1345" i="3"/>
  <c r="B238" i="3"/>
  <c r="E662" i="3"/>
  <c r="B1121" i="3"/>
  <c r="C1272" i="3"/>
  <c r="B1324" i="3"/>
  <c r="A727" i="3"/>
  <c r="C904" i="3"/>
  <c r="E1252" i="3"/>
  <c r="B870" i="3"/>
  <c r="B722" i="3"/>
  <c r="D716" i="3"/>
  <c r="B1395" i="3"/>
  <c r="E1101" i="3"/>
  <c r="D507" i="3"/>
  <c r="B1377" i="3"/>
  <c r="C1011" i="3"/>
  <c r="B920" i="3"/>
  <c r="A1306" i="3"/>
  <c r="E933" i="3"/>
  <c r="B696" i="3"/>
  <c r="A700" i="3"/>
  <c r="B402" i="3"/>
  <c r="C882" i="3"/>
  <c r="D827" i="3"/>
  <c r="E580" i="3"/>
  <c r="B537" i="3"/>
  <c r="E1225" i="3"/>
  <c r="B1302" i="3"/>
  <c r="C720" i="3"/>
  <c r="E997" i="3"/>
  <c r="C1116" i="3"/>
  <c r="D703" i="3"/>
  <c r="A847" i="3"/>
  <c r="E605" i="3"/>
  <c r="A1260" i="3"/>
  <c r="D385" i="3"/>
  <c r="A608" i="3"/>
  <c r="C514" i="3"/>
  <c r="F1315" i="3"/>
  <c r="C1128" i="3"/>
  <c r="F387" i="3"/>
  <c r="C365" i="3"/>
  <c r="C1209" i="3"/>
  <c r="B858" i="3"/>
  <c r="D1332" i="3"/>
  <c r="C246" i="3"/>
  <c r="A998" i="3"/>
  <c r="C1325" i="3"/>
  <c r="B839" i="3"/>
  <c r="E639" i="3"/>
  <c r="D405" i="3"/>
  <c r="E1069" i="3"/>
  <c r="E1239" i="3"/>
  <c r="A1009" i="3"/>
  <c r="B848" i="3"/>
  <c r="D917" i="3"/>
  <c r="B1031" i="3"/>
  <c r="B573" i="3"/>
  <c r="F1222" i="3"/>
  <c r="C1351" i="3"/>
  <c r="D1107" i="3"/>
  <c r="D1088" i="3"/>
  <c r="A1345" i="3"/>
  <c r="F1070" i="3"/>
  <c r="A1194" i="3"/>
  <c r="E583" i="3"/>
  <c r="D640" i="3"/>
  <c r="E912" i="3"/>
  <c r="C1289" i="3"/>
  <c r="C1355" i="3"/>
  <c r="A840" i="3"/>
  <c r="F625" i="3"/>
  <c r="E1019" i="3"/>
  <c r="C518" i="3"/>
  <c r="D1398" i="3"/>
  <c r="F416" i="3"/>
  <c r="A1382" i="3"/>
  <c r="E1063" i="3"/>
  <c r="F852" i="3"/>
  <c r="F1221" i="3"/>
  <c r="B360" i="3"/>
  <c r="B1055" i="3"/>
  <c r="C1265" i="3"/>
  <c r="F856" i="3"/>
  <c r="B1066" i="3"/>
  <c r="C1127" i="3"/>
  <c r="E1380" i="3"/>
  <c r="A1112" i="3"/>
  <c r="A143" i="3"/>
  <c r="A1374" i="3"/>
  <c r="E1236" i="3"/>
  <c r="E143" i="3"/>
  <c r="D1084" i="3"/>
  <c r="E1096" i="3"/>
  <c r="D1380" i="3"/>
  <c r="C418" i="3"/>
  <c r="D470" i="3"/>
  <c r="A380" i="3"/>
  <c r="F848" i="3"/>
  <c r="F448" i="3"/>
  <c r="D971" i="3"/>
  <c r="A1183" i="3"/>
  <c r="F815" i="3"/>
  <c r="D593" i="3"/>
  <c r="C592" i="3"/>
  <c r="D1079" i="3"/>
  <c r="F1198" i="3"/>
  <c r="D1136" i="3"/>
  <c r="B1315" i="3"/>
  <c r="F1425" i="3"/>
  <c r="A1227" i="3"/>
  <c r="F535" i="3"/>
  <c r="D679" i="3"/>
  <c r="D179" i="3"/>
  <c r="C1407" i="3"/>
  <c r="C1334" i="3"/>
  <c r="B946" i="3"/>
  <c r="C646" i="3"/>
  <c r="C1206" i="3"/>
  <c r="A1393" i="3"/>
  <c r="F540" i="3"/>
  <c r="F1254" i="3"/>
  <c r="E505" i="3"/>
  <c r="B864" i="3"/>
  <c r="B1409" i="3"/>
  <c r="E89" i="3"/>
  <c r="B1348" i="3"/>
  <c r="E908" i="3"/>
  <c r="F927" i="3"/>
  <c r="A1220" i="3"/>
  <c r="F584" i="3"/>
  <c r="B297" i="3"/>
  <c r="E873" i="3"/>
  <c r="E814" i="3"/>
  <c r="B168" i="3"/>
  <c r="F176" i="3"/>
  <c r="A1035" i="3"/>
  <c r="E200" i="3"/>
  <c r="B648" i="3"/>
  <c r="C923" i="3"/>
  <c r="F1286" i="3"/>
  <c r="D1390" i="3"/>
  <c r="E1326" i="3"/>
  <c r="C788" i="3"/>
  <c r="B1422" i="3"/>
  <c r="B1364" i="3"/>
  <c r="A1027" i="3"/>
  <c r="E202" i="3"/>
  <c r="B109" i="3"/>
  <c r="E747" i="3"/>
  <c r="B1046" i="3"/>
  <c r="B1162" i="3"/>
  <c r="F206" i="3"/>
  <c r="A1372" i="3"/>
  <c r="D821" i="3"/>
  <c r="D684" i="3"/>
  <c r="C948" i="3"/>
  <c r="F1009" i="3"/>
  <c r="E459" i="3"/>
  <c r="B1225" i="3"/>
  <c r="D1369" i="3"/>
  <c r="D1307" i="3"/>
  <c r="A538" i="3"/>
  <c r="B589" i="3"/>
  <c r="E399" i="3"/>
  <c r="C613" i="3"/>
  <c r="E1295" i="3"/>
  <c r="D1179" i="3"/>
  <c r="B45" i="3"/>
  <c r="D1030" i="3"/>
  <c r="B163" i="3"/>
  <c r="E922" i="3"/>
  <c r="D1115" i="3"/>
  <c r="E1230" i="3"/>
  <c r="E857" i="3"/>
  <c r="C647" i="3"/>
  <c r="D955" i="3"/>
  <c r="D1262" i="3"/>
  <c r="E417" i="3"/>
  <c r="A1268" i="3"/>
  <c r="F735" i="3"/>
  <c r="B1083" i="3"/>
  <c r="E738" i="3"/>
  <c r="B676" i="3"/>
  <c r="B263" i="3"/>
  <c r="B1148" i="3"/>
  <c r="C1178" i="3"/>
  <c r="C478" i="3"/>
  <c r="B1365" i="3"/>
  <c r="D848" i="3"/>
  <c r="A880" i="3"/>
  <c r="E907" i="3"/>
  <c r="D1339" i="3"/>
  <c r="D1374" i="3"/>
  <c r="A1178" i="3"/>
  <c r="C602" i="3"/>
  <c r="E627" i="3"/>
  <c r="A1276" i="3"/>
  <c r="C663" i="3"/>
  <c r="F237" i="3"/>
  <c r="D938" i="3"/>
  <c r="C740" i="3"/>
  <c r="C1027" i="3"/>
  <c r="E915" i="3"/>
  <c r="A1290" i="3"/>
  <c r="B984" i="3"/>
  <c r="B644" i="3"/>
  <c r="F828" i="3"/>
  <c r="A735" i="3"/>
  <c r="E1270" i="3"/>
  <c r="A432" i="3"/>
  <c r="F1023" i="3"/>
  <c r="A892" i="3"/>
  <c r="A624" i="3"/>
  <c r="B1114" i="3"/>
  <c r="A1116" i="3"/>
  <c r="D624" i="3"/>
  <c r="B834" i="3"/>
  <c r="F1314" i="3"/>
  <c r="F1026" i="3"/>
  <c r="F1410" i="3"/>
  <c r="D1286" i="3"/>
  <c r="A1424" i="3"/>
  <c r="B1336" i="3"/>
  <c r="B813" i="3"/>
  <c r="A36" i="3"/>
  <c r="F904" i="3"/>
  <c r="E965" i="3"/>
  <c r="E1144" i="3"/>
  <c r="B1190" i="3"/>
  <c r="A938" i="3"/>
  <c r="E1232" i="3"/>
  <c r="F459" i="3"/>
  <c r="E923" i="3"/>
  <c r="D1119" i="3"/>
  <c r="B682" i="3"/>
  <c r="A1077" i="3"/>
  <c r="D26" i="3"/>
  <c r="A1266" i="3"/>
  <c r="B1228" i="3"/>
  <c r="F1236" i="3"/>
  <c r="D871" i="3"/>
  <c r="B485" i="3"/>
  <c r="B688" i="3"/>
  <c r="B604" i="3"/>
  <c r="E400" i="3"/>
  <c r="C1361" i="3"/>
  <c r="C406" i="3"/>
  <c r="D912" i="3"/>
  <c r="D436" i="3"/>
  <c r="D1412" i="3"/>
  <c r="C1123" i="3"/>
  <c r="F1030" i="3"/>
  <c r="A1230" i="3"/>
  <c r="A1102" i="3"/>
  <c r="B1311" i="3"/>
  <c r="B678" i="3"/>
  <c r="A681" i="3"/>
  <c r="A1074" i="3"/>
  <c r="D214" i="3"/>
  <c r="B991" i="3"/>
  <c r="B1172" i="3"/>
  <c r="A499" i="3"/>
  <c r="F1073" i="3"/>
  <c r="A1384" i="3"/>
  <c r="A919" i="3"/>
  <c r="A1354" i="3"/>
  <c r="B734" i="3"/>
  <c r="A1126" i="3"/>
  <c r="B660" i="3"/>
  <c r="C1283" i="3"/>
  <c r="F889" i="3"/>
  <c r="F429" i="3"/>
  <c r="D966" i="3"/>
  <c r="B697" i="3"/>
  <c r="D1252" i="3"/>
  <c r="C921" i="3"/>
  <c r="F308" i="3"/>
  <c r="D913" i="3"/>
  <c r="F1187" i="3"/>
  <c r="A841" i="3"/>
  <c r="E1182" i="3"/>
  <c r="A817" i="3"/>
  <c r="D662" i="3"/>
  <c r="F707" i="3"/>
  <c r="D738" i="3"/>
  <c r="D177" i="3"/>
  <c r="E817" i="3"/>
  <c r="A223" i="3"/>
  <c r="A736" i="3"/>
  <c r="A1213" i="3"/>
  <c r="A869" i="3"/>
  <c r="C1327" i="3"/>
  <c r="E1263" i="3"/>
  <c r="A1378" i="3"/>
  <c r="B658" i="3"/>
  <c r="E1020" i="3"/>
  <c r="A1092" i="3"/>
  <c r="C619" i="3"/>
  <c r="F1359" i="3"/>
  <c r="A1175" i="3"/>
  <c r="A662" i="3"/>
  <c r="F555" i="3"/>
  <c r="F1167" i="3"/>
  <c r="C838" i="3"/>
  <c r="F1194" i="3"/>
  <c r="D1405" i="3"/>
  <c r="A940" i="3"/>
  <c r="E787" i="3"/>
  <c r="E610" i="3"/>
  <c r="D547" i="3"/>
  <c r="D1226" i="3"/>
  <c r="A899" i="3"/>
  <c r="B701" i="3"/>
  <c r="F681" i="3"/>
  <c r="E917" i="3"/>
  <c r="D910" i="3"/>
  <c r="B704" i="3"/>
  <c r="C1244" i="3"/>
  <c r="E1191" i="3"/>
  <c r="C1282" i="3"/>
  <c r="F975" i="3"/>
  <c r="A771" i="3"/>
  <c r="F706" i="3"/>
  <c r="F987" i="3"/>
  <c r="C870" i="3"/>
  <c r="B904" i="3"/>
  <c r="B1095" i="3"/>
  <c r="C298" i="3"/>
  <c r="A1180" i="3"/>
  <c r="D1207" i="3"/>
  <c r="C1185" i="3"/>
  <c r="F1107" i="3"/>
  <c r="A921" i="3"/>
  <c r="D611" i="3"/>
  <c r="F778" i="3"/>
  <c r="D515" i="3"/>
  <c r="B917" i="3"/>
  <c r="C1346" i="3"/>
  <c r="F1132" i="3"/>
  <c r="D923" i="3"/>
  <c r="F738" i="3"/>
  <c r="C1357" i="3"/>
  <c r="C808" i="3"/>
  <c r="C176" i="3"/>
  <c r="F177" i="3"/>
  <c r="D783" i="3"/>
  <c r="C1059" i="3"/>
  <c r="D528" i="3"/>
  <c r="E340" i="3"/>
  <c r="A1238" i="3"/>
  <c r="F1097" i="3"/>
  <c r="F813" i="3"/>
  <c r="C690" i="3"/>
  <c r="B993" i="3"/>
  <c r="D1012" i="3"/>
  <c r="C711" i="3"/>
  <c r="A1171" i="3"/>
  <c r="A1246" i="3"/>
  <c r="B1089" i="3"/>
  <c r="B491" i="3"/>
  <c r="E462" i="3"/>
  <c r="F454" i="3"/>
  <c r="A612" i="3"/>
  <c r="D1129" i="3"/>
  <c r="C706" i="3"/>
  <c r="C1347" i="3"/>
  <c r="D1074" i="3"/>
  <c r="E884" i="3"/>
  <c r="A220" i="3"/>
  <c r="D339" i="3"/>
  <c r="F887" i="3"/>
  <c r="C1264" i="3"/>
  <c r="E108" i="3"/>
  <c r="A1189" i="3"/>
  <c r="C926" i="3"/>
  <c r="A531" i="3"/>
  <c r="F964" i="3"/>
  <c r="C1164" i="3"/>
  <c r="D704" i="3"/>
  <c r="C1172" i="3"/>
  <c r="A370" i="3"/>
  <c r="B1120" i="3"/>
  <c r="E492" i="3"/>
  <c r="B671" i="3"/>
  <c r="B967" i="3"/>
  <c r="A1313" i="3"/>
  <c r="D740" i="3"/>
  <c r="E146" i="3"/>
  <c r="F1059" i="3"/>
  <c r="F1309" i="3"/>
  <c r="F1125" i="3"/>
  <c r="E722" i="3"/>
  <c r="C367" i="3"/>
  <c r="B815" i="3"/>
  <c r="B399" i="3"/>
  <c r="F880" i="3"/>
  <c r="C1102" i="3"/>
  <c r="D1212" i="3"/>
  <c r="B856" i="3"/>
  <c r="E670" i="3"/>
  <c r="A722" i="3"/>
  <c r="E1352" i="3"/>
  <c r="E1090" i="3"/>
  <c r="A1392" i="3"/>
  <c r="F1407" i="3"/>
  <c r="E656" i="3"/>
  <c r="D757" i="3"/>
  <c r="F886" i="3"/>
  <c r="B700" i="3"/>
  <c r="C627" i="3"/>
  <c r="F524" i="3"/>
  <c r="C1043" i="3"/>
  <c r="F1130" i="3"/>
  <c r="E1411" i="3"/>
  <c r="F1032" i="3"/>
  <c r="B208" i="3"/>
  <c r="B936" i="3"/>
  <c r="D865" i="3"/>
  <c r="E813" i="3"/>
  <c r="C539" i="3"/>
  <c r="D1415" i="3"/>
  <c r="F949" i="3"/>
  <c r="E663" i="3"/>
  <c r="D1165" i="3"/>
  <c r="A1317" i="3"/>
  <c r="D1073" i="3"/>
  <c r="B1064" i="3"/>
  <c r="F590" i="3"/>
  <c r="C819" i="3"/>
  <c r="E901" i="3"/>
  <c r="C295" i="3"/>
  <c r="C717" i="3"/>
  <c r="E1288" i="3"/>
  <c r="A979" i="3"/>
  <c r="B1128" i="3"/>
  <c r="F611" i="3"/>
  <c r="A716" i="3"/>
  <c r="D785" i="3"/>
  <c r="C757" i="3"/>
  <c r="E689" i="3"/>
  <c r="C1171" i="3"/>
  <c r="D659" i="3"/>
  <c r="E1139" i="3"/>
  <c r="F799" i="3"/>
  <c r="B435" i="3"/>
  <c r="E1315" i="3"/>
  <c r="F1087" i="3"/>
  <c r="A1371" i="3"/>
  <c r="C1326" i="3"/>
  <c r="E595" i="3"/>
  <c r="A1143" i="3"/>
  <c r="A80" i="3"/>
  <c r="F865" i="3"/>
  <c r="B887" i="3"/>
  <c r="F968" i="3"/>
  <c r="D1027" i="3"/>
  <c r="C649" i="3"/>
  <c r="D1382" i="3"/>
  <c r="E937" i="3"/>
  <c r="A883" i="3"/>
  <c r="A1279" i="3"/>
  <c r="E1226" i="3"/>
  <c r="C1317" i="3"/>
  <c r="D481" i="3"/>
  <c r="F487" i="3"/>
  <c r="F1049" i="3"/>
  <c r="A1278" i="3"/>
  <c r="D1248" i="3"/>
  <c r="C183" i="3"/>
  <c r="F997" i="3"/>
  <c r="F1381" i="3"/>
  <c r="F1028" i="3"/>
  <c r="B25" i="3"/>
  <c r="E1407" i="3"/>
  <c r="C1151" i="3"/>
  <c r="A1082" i="3"/>
  <c r="D1083" i="3"/>
  <c r="F105" i="3"/>
  <c r="D279" i="3"/>
  <c r="A356" i="3"/>
  <c r="B809" i="3"/>
  <c r="B207" i="3"/>
  <c r="C1086" i="3"/>
  <c r="E798" i="3"/>
  <c r="A965" i="3"/>
  <c r="F1099" i="3"/>
  <c r="B1097" i="3"/>
  <c r="C1335" i="3"/>
  <c r="D465" i="3"/>
  <c r="C1340" i="3"/>
  <c r="F840" i="3"/>
  <c r="C1165" i="3"/>
  <c r="D830" i="3"/>
  <c r="F1398" i="3"/>
  <c r="C1341" i="3"/>
  <c r="E1175" i="3"/>
  <c r="B796" i="3"/>
  <c r="F93" i="3"/>
  <c r="E297" i="3"/>
  <c r="E999" i="3"/>
  <c r="B225" i="3"/>
  <c r="B296" i="3"/>
  <c r="F1196" i="3"/>
  <c r="D918" i="3"/>
  <c r="A1253" i="3"/>
  <c r="E1189" i="3"/>
  <c r="F1163" i="3"/>
  <c r="E1050" i="3"/>
  <c r="B461" i="3"/>
  <c r="F405" i="3"/>
  <c r="C404" i="3"/>
  <c r="F1246" i="3"/>
  <c r="B985" i="3"/>
  <c r="C1380" i="3"/>
  <c r="A728" i="3"/>
  <c r="B1014" i="3"/>
  <c r="B1189" i="3"/>
  <c r="B333" i="3"/>
  <c r="E783" i="3"/>
  <c r="B1267" i="3"/>
  <c r="E1277" i="3"/>
  <c r="C214" i="3"/>
  <c r="D1294" i="3"/>
  <c r="E1342" i="3"/>
  <c r="D400" i="3"/>
  <c r="F1213" i="3"/>
  <c r="F1218" i="3"/>
  <c r="E1067" i="3"/>
  <c r="C1180" i="3"/>
  <c r="E413" i="3"/>
  <c r="B1061" i="3"/>
  <c r="B862" i="3"/>
  <c r="E1194" i="3"/>
  <c r="A680" i="3"/>
  <c r="A1222" i="3"/>
  <c r="C842" i="3"/>
  <c r="D1234" i="3"/>
  <c r="E1357" i="3"/>
  <c r="F915" i="3"/>
  <c r="E995" i="3"/>
  <c r="E1140" i="3"/>
  <c r="C708" i="3"/>
  <c r="B176" i="3"/>
  <c r="D1320" i="3"/>
  <c r="A566" i="3"/>
  <c r="E324" i="3"/>
  <c r="E620" i="3"/>
  <c r="F1297" i="3"/>
  <c r="F984" i="3"/>
  <c r="F691" i="3"/>
  <c r="E853" i="3"/>
  <c r="E910" i="3"/>
  <c r="A584" i="3"/>
  <c r="E843" i="3"/>
  <c r="E921" i="3"/>
  <c r="C843" i="3"/>
  <c r="C1332" i="3"/>
  <c r="A1403" i="3"/>
  <c r="B511" i="3"/>
  <c r="E1336" i="3"/>
  <c r="D894" i="3"/>
  <c r="B1177" i="3"/>
  <c r="E498" i="3"/>
  <c r="D996" i="3"/>
  <c r="A1030" i="3"/>
  <c r="E613" i="3"/>
  <c r="F1284" i="3"/>
  <c r="D1268" i="3"/>
  <c r="B410" i="3"/>
  <c r="A721" i="3"/>
  <c r="F977" i="3"/>
  <c r="B1012" i="3"/>
  <c r="F1008" i="3"/>
  <c r="B1328" i="3"/>
  <c r="A882" i="3"/>
  <c r="B1077" i="3"/>
  <c r="E820" i="3"/>
  <c r="B751" i="3"/>
  <c r="E1109" i="3"/>
  <c r="A1270" i="3"/>
  <c r="E531" i="3"/>
  <c r="E729" i="3"/>
  <c r="E1203" i="3"/>
  <c r="B1180" i="3"/>
  <c r="A1391" i="3"/>
  <c r="D554" i="3"/>
  <c r="A287" i="3"/>
  <c r="D1018" i="3"/>
  <c r="D1096" i="3"/>
  <c r="D1336" i="3"/>
  <c r="E1233" i="3"/>
  <c r="A1288" i="3"/>
  <c r="C1390" i="3"/>
  <c r="F1012" i="3"/>
  <c r="E425" i="3"/>
  <c r="C641" i="3"/>
  <c r="D1352" i="3"/>
  <c r="C1104" i="3"/>
  <c r="A264" i="3"/>
  <c r="B294" i="3"/>
  <c r="D995" i="3"/>
  <c r="A647" i="3"/>
  <c r="E789" i="3"/>
  <c r="D1261" i="3"/>
  <c r="D1317" i="3"/>
  <c r="B1402" i="3"/>
  <c r="E1153" i="3"/>
  <c r="B239" i="3"/>
  <c r="B1264" i="3"/>
  <c r="F1192" i="3"/>
  <c r="F1056" i="3"/>
  <c r="F1301" i="3"/>
  <c r="C1297" i="3"/>
  <c r="C803" i="3"/>
  <c r="D1394" i="3"/>
  <c r="F879" i="3"/>
  <c r="D1054" i="3"/>
  <c r="F564" i="3"/>
  <c r="F222" i="3"/>
  <c r="D1087" i="3"/>
  <c r="D868" i="3"/>
  <c r="C897" i="3"/>
  <c r="B476" i="3"/>
  <c r="D454" i="3"/>
  <c r="A1050" i="3"/>
  <c r="B139" i="3"/>
  <c r="D539" i="3"/>
  <c r="E295" i="3"/>
  <c r="B1222" i="3"/>
  <c r="D1211" i="3"/>
  <c r="D881" i="3"/>
  <c r="E331" i="3"/>
  <c r="D1319" i="3"/>
  <c r="A580" i="3"/>
  <c r="B1423" i="3"/>
  <c r="B1210" i="3"/>
  <c r="E1099" i="3"/>
  <c r="F1040" i="3"/>
  <c r="C972" i="3"/>
  <c r="B186" i="3"/>
  <c r="D708" i="3"/>
  <c r="E373" i="3"/>
  <c r="C395" i="3"/>
  <c r="C1071" i="3"/>
  <c r="C755" i="3"/>
  <c r="E809" i="3"/>
  <c r="C1160" i="3"/>
  <c r="D994" i="3"/>
  <c r="B794" i="3"/>
  <c r="A1147" i="3"/>
  <c r="F600" i="3"/>
  <c r="C931" i="3"/>
  <c r="E672" i="3"/>
  <c r="C162" i="3"/>
  <c r="D972" i="3"/>
  <c r="E1351" i="3"/>
  <c r="E567" i="3"/>
  <c r="B1168" i="3"/>
  <c r="A1079" i="3"/>
  <c r="A1381" i="3"/>
  <c r="C832" i="3"/>
  <c r="D823" i="3"/>
  <c r="A1320" i="3"/>
  <c r="C1304" i="3"/>
  <c r="A390" i="3"/>
  <c r="A52" i="3"/>
  <c r="E560" i="3"/>
  <c r="C527" i="3"/>
  <c r="A405" i="3"/>
  <c r="E545" i="3"/>
  <c r="A1289" i="3"/>
  <c r="B735" i="3"/>
  <c r="D420" i="3"/>
  <c r="A1037" i="3"/>
  <c r="D719" i="3"/>
  <c r="D901" i="3"/>
  <c r="F1346" i="3"/>
  <c r="D851" i="3"/>
  <c r="E309" i="3"/>
  <c r="B499" i="3"/>
  <c r="D578" i="3"/>
  <c r="E495" i="3"/>
  <c r="A954" i="3"/>
  <c r="E769" i="3"/>
  <c r="C596" i="3"/>
  <c r="B1081" i="3"/>
  <c r="A1137" i="3"/>
  <c r="C340" i="3"/>
  <c r="E1376" i="3"/>
  <c r="D1172" i="3"/>
  <c r="B1197" i="3"/>
  <c r="A614" i="3"/>
  <c r="A719" i="3"/>
  <c r="B712" i="3"/>
  <c r="D225" i="3"/>
  <c r="D523" i="3"/>
  <c r="C467" i="3"/>
  <c r="E635" i="3"/>
  <c r="E1335" i="3"/>
  <c r="E878" i="3"/>
  <c r="C1227" i="3"/>
  <c r="E1278" i="3"/>
  <c r="C998" i="3"/>
  <c r="C906" i="3"/>
  <c r="D936" i="3"/>
  <c r="B1388" i="3"/>
  <c r="F1268" i="3"/>
  <c r="A511" i="3"/>
  <c r="E56" i="3"/>
  <c r="B666" i="3"/>
  <c r="F807" i="3"/>
  <c r="B1139" i="3"/>
  <c r="D1175" i="3"/>
  <c r="D1014" i="3"/>
  <c r="D1055" i="3"/>
  <c r="B1185" i="3"/>
  <c r="B627" i="3"/>
  <c r="E1003" i="3"/>
  <c r="C376" i="3"/>
  <c r="C219" i="3"/>
  <c r="C145" i="3"/>
  <c r="D329" i="3"/>
  <c r="D1126" i="3"/>
  <c r="E1158" i="3"/>
  <c r="A103" i="3"/>
  <c r="C1243" i="3"/>
  <c r="F1003" i="3"/>
  <c r="D275" i="3"/>
  <c r="D1422" i="3"/>
  <c r="E644" i="3"/>
  <c r="F1264" i="3"/>
  <c r="F490" i="3"/>
  <c r="D272" i="3"/>
  <c r="F630" i="3"/>
  <c r="A110" i="3"/>
  <c r="B1339" i="3"/>
  <c r="B1109" i="3"/>
  <c r="A344" i="3"/>
  <c r="F1327" i="3"/>
  <c r="B657" i="3"/>
  <c r="C668" i="3"/>
  <c r="C907" i="3"/>
  <c r="B341" i="3"/>
  <c r="A231" i="3"/>
  <c r="C1370" i="3"/>
  <c r="B849" i="3"/>
  <c r="E1393" i="3"/>
  <c r="E919" i="3"/>
  <c r="E1129" i="3"/>
  <c r="E1374" i="3"/>
  <c r="E642" i="3"/>
  <c r="A350" i="3"/>
  <c r="C1149" i="3"/>
  <c r="E499" i="3"/>
  <c r="A1071" i="3"/>
  <c r="A807" i="3"/>
  <c r="D1341" i="3"/>
  <c r="A814" i="3"/>
  <c r="B968" i="3"/>
  <c r="C712" i="3"/>
  <c r="E1048" i="3"/>
  <c r="D278" i="3"/>
  <c r="A408" i="3"/>
  <c r="F442" i="3"/>
  <c r="F369" i="3"/>
  <c r="D1283" i="3"/>
  <c r="D645" i="3"/>
  <c r="A184" i="3"/>
  <c r="E961" i="3"/>
  <c r="C992" i="3"/>
  <c r="E837" i="3"/>
  <c r="F832" i="3"/>
  <c r="D658" i="3"/>
  <c r="C102" i="3"/>
  <c r="A725" i="3"/>
  <c r="A1087" i="3"/>
  <c r="E1166" i="3"/>
  <c r="E1420" i="3"/>
  <c r="D1245" i="3"/>
  <c r="A1300" i="3"/>
  <c r="E1172" i="3"/>
  <c r="F1370" i="3"/>
  <c r="A1358" i="3"/>
  <c r="E449" i="3"/>
  <c r="F1156" i="3"/>
  <c r="E1037" i="3"/>
  <c r="A1032" i="3"/>
  <c r="D1404" i="3"/>
  <c r="F1075" i="3"/>
  <c r="A873" i="3"/>
  <c r="D97" i="3"/>
  <c r="A115" i="3"/>
  <c r="F568" i="3"/>
  <c r="D1103" i="3"/>
  <c r="D973" i="3"/>
  <c r="B493" i="3"/>
  <c r="E1040" i="3"/>
  <c r="D525" i="3"/>
  <c r="E1123" i="3"/>
  <c r="B586" i="3"/>
  <c r="F1016" i="3"/>
  <c r="B247" i="3"/>
  <c r="E645" i="3"/>
  <c r="C985" i="3"/>
  <c r="B544" i="3"/>
  <c r="D615" i="3"/>
  <c r="B919" i="3"/>
  <c r="E711" i="3"/>
  <c r="A706" i="3"/>
  <c r="F1255" i="3"/>
  <c r="F1217" i="3"/>
  <c r="A917" i="3"/>
  <c r="A1019" i="3"/>
  <c r="D929" i="3"/>
  <c r="A790" i="3"/>
  <c r="F556" i="3"/>
  <c r="E984" i="3"/>
  <c r="E1103" i="3"/>
  <c r="F543" i="3"/>
  <c r="F791" i="3"/>
  <c r="D20" i="3"/>
  <c r="F756" i="3"/>
  <c r="B965" i="3"/>
  <c r="A1113" i="3"/>
  <c r="E600" i="3"/>
  <c r="E709" i="3"/>
  <c r="E1049" i="3"/>
  <c r="B659" i="3"/>
  <c r="F1345" i="3"/>
  <c r="F647" i="3"/>
  <c r="E223" i="3"/>
  <c r="D815" i="3"/>
  <c r="A1188" i="3"/>
  <c r="A874" i="3"/>
  <c r="E473" i="3"/>
  <c r="D935" i="3"/>
  <c r="B1126" i="3"/>
  <c r="E793" i="3"/>
  <c r="B1220" i="3"/>
  <c r="C990" i="3"/>
  <c r="C984" i="3"/>
  <c r="D1177" i="3"/>
  <c r="E1328" i="3"/>
  <c r="C684" i="3"/>
  <c r="D650" i="3"/>
  <c r="E1148" i="3"/>
  <c r="B1252" i="3"/>
  <c r="E749" i="3"/>
  <c r="F923" i="3"/>
  <c r="B728" i="3"/>
  <c r="A1361" i="3"/>
  <c r="C655" i="3"/>
  <c r="D1204" i="3"/>
  <c r="E428" i="3"/>
  <c r="E7" i="3"/>
  <c r="D838" i="3"/>
  <c r="A1025" i="3"/>
  <c r="E147" i="3"/>
  <c r="B786" i="3"/>
  <c r="C735" i="3"/>
  <c r="B740" i="3"/>
  <c r="A760" i="3"/>
  <c r="B1419" i="3"/>
  <c r="A663" i="3"/>
  <c r="F1111" i="3"/>
  <c r="A1107" i="3"/>
  <c r="E943" i="3"/>
  <c r="B1004" i="3"/>
  <c r="C521" i="3"/>
  <c r="D303" i="3"/>
  <c r="E1414" i="3"/>
  <c r="D1285" i="3"/>
  <c r="F921" i="3"/>
  <c r="A1133" i="3"/>
  <c r="C1124" i="3"/>
  <c r="D814" i="3"/>
  <c r="E501" i="3"/>
  <c r="F1151" i="3"/>
  <c r="B1288" i="3"/>
  <c r="D810" i="3"/>
  <c r="A904" i="3"/>
  <c r="C1150" i="3"/>
  <c r="D1008" i="3"/>
  <c r="C732" i="3"/>
  <c r="E714" i="3"/>
  <c r="D1049" i="3"/>
  <c r="E1264" i="3"/>
  <c r="C691" i="3"/>
  <c r="C1063" i="3"/>
  <c r="D886" i="3"/>
  <c r="A765" i="3"/>
  <c r="D693" i="3"/>
  <c r="E474" i="3"/>
  <c r="C749" i="3"/>
  <c r="C1261" i="3"/>
  <c r="A987" i="3"/>
  <c r="C976" i="3"/>
  <c r="B731" i="3"/>
  <c r="F470" i="3"/>
  <c r="B484" i="3"/>
  <c r="A1084" i="3"/>
  <c r="E889" i="3"/>
  <c r="A1366" i="3"/>
  <c r="A1199" i="3"/>
  <c r="F1051" i="3"/>
  <c r="B1299" i="3"/>
  <c r="D1131" i="3"/>
  <c r="D798" i="3"/>
  <c r="F938" i="3"/>
  <c r="E1378" i="3"/>
  <c r="A1323" i="3"/>
  <c r="B1024" i="3"/>
  <c r="D872" i="3"/>
  <c r="D1094" i="3"/>
  <c r="A1200" i="3"/>
  <c r="F1247" i="3"/>
  <c r="A653" i="3"/>
  <c r="C114" i="3"/>
  <c r="D728" i="3"/>
  <c r="B1181" i="3"/>
  <c r="B1217" i="3"/>
  <c r="F472" i="3"/>
  <c r="C833" i="3"/>
  <c r="E251" i="3"/>
  <c r="A649" i="3"/>
  <c r="C1016" i="3"/>
  <c r="F553" i="3"/>
  <c r="C1233" i="3"/>
  <c r="E1202" i="3"/>
  <c r="E856" i="3"/>
  <c r="D1260" i="3"/>
  <c r="B564" i="3"/>
  <c r="E687" i="3"/>
  <c r="A1115" i="3"/>
  <c r="D1347" i="3"/>
  <c r="A742" i="3"/>
  <c r="E1343" i="3"/>
  <c r="B475" i="3"/>
  <c r="F764" i="3"/>
  <c r="C1187" i="3"/>
  <c r="F1230" i="3"/>
  <c r="A937" i="3"/>
  <c r="B913" i="3"/>
  <c r="E1126" i="3"/>
  <c r="B888" i="3"/>
  <c r="D1200" i="3"/>
  <c r="F967" i="3"/>
  <c r="C1397" i="3"/>
  <c r="F940" i="3"/>
  <c r="C693" i="3"/>
  <c r="D902" i="3"/>
  <c r="A907" i="3"/>
  <c r="A1319" i="3"/>
  <c r="F1278" i="3"/>
  <c r="C588" i="3"/>
  <c r="A1331" i="3"/>
  <c r="B1230" i="3"/>
  <c r="A1242" i="3"/>
  <c r="F1364" i="3"/>
  <c r="A924" i="3"/>
  <c r="C1199" i="3"/>
  <c r="C642" i="3"/>
  <c r="B267" i="3"/>
  <c r="C940" i="3"/>
  <c r="F1351" i="3"/>
  <c r="A1201" i="3"/>
  <c r="A605" i="3"/>
  <c r="F1311" i="3"/>
  <c r="F1313" i="3"/>
  <c r="B314" i="3"/>
  <c r="D366" i="3"/>
  <c r="B1411" i="3"/>
  <c r="C1161" i="3"/>
  <c r="C1349" i="3"/>
  <c r="D1354" i="3"/>
  <c r="E1404" i="3"/>
  <c r="E659" i="3"/>
  <c r="D292" i="3"/>
  <c r="D1137" i="3"/>
  <c r="C733" i="3"/>
  <c r="C1314" i="3"/>
  <c r="D811" i="3"/>
  <c r="B66" i="3"/>
  <c r="C1201" i="3"/>
  <c r="D443" i="3"/>
  <c r="D331" i="3"/>
  <c r="E619" i="3"/>
  <c r="A966" i="3"/>
  <c r="F577" i="3"/>
  <c r="D1389" i="3"/>
  <c r="E516" i="3"/>
  <c r="D1144" i="3"/>
  <c r="A838" i="3"/>
  <c r="E556" i="3"/>
  <c r="B1266" i="3"/>
  <c r="D1316" i="3"/>
  <c r="B495" i="3"/>
  <c r="D933" i="3"/>
  <c r="D1043" i="3"/>
  <c r="F159" i="3"/>
  <c r="E1171" i="3"/>
  <c r="A1075" i="3"/>
  <c r="B1154" i="3"/>
  <c r="A1422" i="3"/>
  <c r="C864" i="3"/>
  <c r="F1417" i="3"/>
  <c r="D958" i="3"/>
  <c r="C109" i="3"/>
  <c r="D646" i="3"/>
  <c r="C725" i="3"/>
  <c r="B961" i="3"/>
  <c r="B1326" i="3"/>
  <c r="A660" i="3"/>
  <c r="A1015" i="3"/>
  <c r="B775" i="3"/>
  <c r="C1363" i="3"/>
  <c r="D752" i="3"/>
  <c r="F1322" i="3"/>
  <c r="F920" i="3"/>
  <c r="D1019" i="3"/>
  <c r="F617" i="3"/>
  <c r="A929" i="3"/>
  <c r="A1020" i="3"/>
  <c r="B585" i="3"/>
  <c r="D892" i="3"/>
  <c r="E1077" i="3"/>
  <c r="A1001" i="3"/>
  <c r="A484" i="3"/>
  <c r="A563" i="3"/>
  <c r="D1289" i="3"/>
  <c r="F562" i="3"/>
  <c r="D1035" i="3"/>
  <c r="B538" i="3"/>
  <c r="C822" i="3"/>
  <c r="A1417" i="3"/>
  <c r="E1370" i="3"/>
  <c r="D1209" i="3"/>
  <c r="D444" i="3"/>
  <c r="D859" i="3"/>
  <c r="A406" i="3"/>
  <c r="D1205" i="3"/>
  <c r="F958" i="3"/>
  <c r="C1148" i="3"/>
  <c r="E743" i="3"/>
  <c r="F1193" i="3"/>
  <c r="C1417" i="3"/>
  <c r="C1230" i="3"/>
  <c r="A195" i="3"/>
  <c r="F1142" i="3"/>
  <c r="A1254" i="3"/>
  <c r="E11" i="3"/>
  <c r="E953" i="3"/>
  <c r="D1127" i="3"/>
  <c r="C1079" i="3"/>
  <c r="A951" i="3"/>
  <c r="D1203" i="3"/>
  <c r="A599" i="3"/>
  <c r="C499" i="3"/>
  <c r="D980" i="3"/>
  <c r="F1290" i="3"/>
  <c r="B970" i="3"/>
  <c r="B974" i="3"/>
  <c r="B1265" i="3"/>
  <c r="E118" i="3"/>
  <c r="E900" i="3"/>
  <c r="C968" i="3"/>
  <c r="C1232" i="3"/>
  <c r="D759" i="3"/>
  <c r="E803" i="3"/>
  <c r="E1312" i="3"/>
  <c r="F1403" i="3"/>
  <c r="F893" i="3"/>
  <c r="C605" i="3"/>
  <c r="A756" i="3"/>
  <c r="E1292" i="3"/>
  <c r="F882" i="3"/>
  <c r="E771" i="3"/>
  <c r="D1106" i="3"/>
  <c r="D639" i="3"/>
  <c r="C357" i="3"/>
  <c r="E1073" i="3"/>
  <c r="F1082" i="3"/>
  <c r="D695" i="3"/>
  <c r="A35" i="3"/>
  <c r="C1303" i="3"/>
  <c r="B332" i="3"/>
  <c r="A676" i="3"/>
  <c r="E23" i="3"/>
  <c r="A540" i="3"/>
  <c r="F406" i="3"/>
  <c r="D588" i="3"/>
  <c r="D943" i="3"/>
  <c r="D474" i="3"/>
  <c r="F257" i="3"/>
  <c r="E1260" i="3"/>
  <c r="D1047" i="3"/>
  <c r="B929" i="3"/>
  <c r="F1031" i="3"/>
  <c r="C860" i="3"/>
  <c r="A428" i="3"/>
  <c r="B990" i="3"/>
  <c r="B743" i="3"/>
  <c r="F1279" i="3"/>
  <c r="E968" i="3"/>
  <c r="D1271" i="3"/>
  <c r="D457" i="3"/>
  <c r="E542" i="3"/>
  <c r="C379" i="3"/>
  <c r="A1321" i="3"/>
  <c r="D1188" i="3"/>
  <c r="D977" i="3"/>
  <c r="B902" i="3"/>
  <c r="C585" i="3"/>
  <c r="E993" i="3"/>
  <c r="F1190" i="3"/>
  <c r="B797" i="3"/>
  <c r="C753" i="3"/>
  <c r="A49" i="3"/>
  <c r="F554" i="3"/>
  <c r="D760" i="3"/>
  <c r="A607" i="3"/>
  <c r="C1137" i="3"/>
  <c r="D1224" i="3"/>
  <c r="E1111" i="3"/>
  <c r="B542" i="3"/>
  <c r="A1297" i="3"/>
  <c r="F1389" i="3"/>
  <c r="B987" i="3"/>
  <c r="B1319" i="3"/>
  <c r="E979" i="3"/>
  <c r="F789" i="3"/>
  <c r="C1083" i="3"/>
  <c r="E1100" i="3"/>
  <c r="A675" i="3"/>
  <c r="A870" i="3"/>
  <c r="A508" i="3"/>
  <c r="A1318" i="3"/>
  <c r="F1367" i="3"/>
  <c r="F351" i="3"/>
  <c r="F462" i="3"/>
  <c r="D110" i="3"/>
  <c r="A1364" i="3"/>
  <c r="E730" i="3"/>
  <c r="C369" i="3"/>
  <c r="B1063" i="3"/>
  <c r="E1141" i="3"/>
  <c r="A639" i="3"/>
  <c r="B924" i="3"/>
  <c r="B1167" i="3"/>
  <c r="F1045" i="3"/>
  <c r="D788" i="3"/>
  <c r="A1054" i="3"/>
  <c r="E1060" i="3"/>
  <c r="A695" i="3"/>
  <c r="F1241" i="3"/>
  <c r="E533" i="3"/>
  <c r="E849" i="3"/>
  <c r="F328" i="3"/>
  <c r="F899" i="3"/>
  <c r="B943" i="3"/>
  <c r="B517" i="3"/>
  <c r="E1133" i="3"/>
  <c r="F1133" i="3"/>
  <c r="A976" i="3"/>
  <c r="B1229" i="3"/>
  <c r="C846" i="3"/>
  <c r="B777" i="3"/>
  <c r="A490" i="3"/>
  <c r="F1089" i="3"/>
  <c r="E614" i="3"/>
  <c r="A387" i="3"/>
  <c r="C1329" i="3"/>
  <c r="A1016" i="3"/>
  <c r="E905" i="3"/>
  <c r="B298" i="3"/>
  <c r="B389" i="3"/>
  <c r="B1110" i="3"/>
  <c r="E457" i="3"/>
  <c r="B1002" i="3"/>
  <c r="E967" i="3"/>
  <c r="E724" i="3"/>
  <c r="B545" i="3"/>
  <c r="B1200" i="3"/>
  <c r="E925" i="3"/>
  <c r="A85" i="3"/>
  <c r="C1402" i="3"/>
  <c r="A1070" i="3"/>
  <c r="D932" i="3"/>
  <c r="C1352" i="3"/>
  <c r="C1423" i="3"/>
  <c r="E593" i="3"/>
  <c r="B980" i="3"/>
  <c r="F497" i="3"/>
  <c r="A1419" i="3"/>
  <c r="F624" i="3"/>
  <c r="E674" i="3"/>
  <c r="A1373" i="3"/>
  <c r="F822" i="3"/>
  <c r="A1211" i="3"/>
  <c r="B630" i="3"/>
  <c r="F130" i="3"/>
  <c r="D1001" i="3"/>
  <c r="B868" i="3"/>
  <c r="F1176" i="3"/>
  <c r="E594" i="3"/>
  <c r="D1062" i="3"/>
  <c r="D922" i="3"/>
  <c r="E42" i="3"/>
  <c r="C656" i="3"/>
  <c r="E726" i="3"/>
  <c r="A644" i="3"/>
  <c r="D137" i="3"/>
  <c r="C1214" i="3"/>
  <c r="C1002" i="3"/>
  <c r="F1191" i="3"/>
  <c r="E1210" i="3"/>
  <c r="C411" i="3"/>
  <c r="A1255" i="3"/>
  <c r="A1271" i="3"/>
  <c r="B1351" i="3"/>
  <c r="C452" i="3"/>
  <c r="E851" i="3"/>
  <c r="D1399" i="3"/>
  <c r="D286" i="3"/>
  <c r="D271" i="3"/>
  <c r="A460" i="3"/>
  <c r="C1034" i="3"/>
  <c r="E1238" i="3"/>
  <c r="D1005" i="3"/>
  <c r="F993" i="3"/>
  <c r="C810" i="3"/>
  <c r="C465" i="3"/>
  <c r="A1029" i="3"/>
  <c r="F124" i="3"/>
  <c r="C848" i="3"/>
  <c r="B462" i="3"/>
  <c r="C886" i="3"/>
  <c r="B1344" i="3"/>
  <c r="A1292" i="3"/>
  <c r="F512" i="3"/>
  <c r="E970" i="3"/>
  <c r="D669" i="3"/>
  <c r="F1387" i="3"/>
  <c r="C535" i="3"/>
  <c r="C290" i="3"/>
  <c r="E1348" i="3"/>
  <c r="A8" i="3"/>
  <c r="D1155" i="3"/>
  <c r="F1084" i="3"/>
  <c r="E858" i="3"/>
  <c r="C599" i="3"/>
  <c r="E274" i="3"/>
  <c r="F992" i="3"/>
  <c r="B1103" i="3"/>
  <c r="B223" i="3"/>
  <c r="A488" i="3"/>
  <c r="C1207" i="3"/>
  <c r="E104" i="3"/>
  <c r="F486" i="3"/>
  <c r="C935" i="3"/>
  <c r="C1019" i="3"/>
  <c r="C1153" i="3"/>
  <c r="B992" i="3"/>
  <c r="C1418" i="3"/>
  <c r="A1244" i="3"/>
  <c r="C289" i="3"/>
  <c r="A911" i="3"/>
  <c r="D836" i="3"/>
  <c r="D945" i="3"/>
  <c r="F1352" i="3"/>
  <c r="B686" i="3"/>
  <c r="F1306" i="3"/>
  <c r="C296" i="3"/>
  <c r="F1180" i="3"/>
  <c r="C1142" i="3"/>
  <c r="A679" i="3"/>
  <c r="A1355" i="3"/>
  <c r="F1400" i="3"/>
  <c r="F703" i="3"/>
  <c r="B1242" i="3"/>
  <c r="A83" i="3"/>
  <c r="D750" i="3"/>
  <c r="E370" i="3"/>
  <c r="B1256" i="3"/>
  <c r="C225" i="3"/>
  <c r="A394" i="3"/>
  <c r="E1147" i="3"/>
  <c r="D183" i="3"/>
  <c r="F501" i="3"/>
  <c r="A999" i="3"/>
  <c r="F370" i="3"/>
  <c r="E1206" i="3"/>
  <c r="F49" i="3"/>
  <c r="D573" i="3"/>
  <c r="E1262" i="3"/>
  <c r="C610" i="3"/>
  <c r="C852" i="3"/>
  <c r="D762" i="3"/>
  <c r="C127" i="3"/>
  <c r="D586" i="3"/>
  <c r="B875" i="3"/>
  <c r="E1030" i="3"/>
  <c r="C718" i="3"/>
  <c r="F731" i="3"/>
  <c r="E1179" i="3"/>
  <c r="A666" i="3"/>
  <c r="F292" i="3"/>
  <c r="F867" i="3"/>
  <c r="E25" i="3"/>
  <c r="A105" i="3"/>
  <c r="E435" i="3"/>
  <c r="F803" i="3"/>
  <c r="C662" i="3"/>
  <c r="B246" i="3"/>
  <c r="F1282" i="3"/>
  <c r="B1196" i="3"/>
  <c r="C1072" i="3"/>
  <c r="E1323" i="3"/>
  <c r="D309" i="3"/>
  <c r="F926" i="3"/>
  <c r="A478" i="3"/>
  <c r="A296" i="3"/>
  <c r="B714" i="3"/>
  <c r="B580" i="3"/>
  <c r="A1325" i="3"/>
  <c r="E745" i="3"/>
  <c r="D1025" i="3"/>
  <c r="D1420" i="3"/>
  <c r="E750" i="3"/>
  <c r="E1314" i="3"/>
  <c r="E1137" i="3"/>
  <c r="B741" i="3"/>
  <c r="C1371" i="3"/>
  <c r="E261" i="3"/>
  <c r="E924" i="3"/>
  <c r="A836" i="3"/>
  <c r="F758" i="3"/>
  <c r="F686" i="3"/>
  <c r="C450" i="3"/>
  <c r="C1219" i="3"/>
  <c r="C1319" i="3"/>
  <c r="B925" i="3"/>
  <c r="F770" i="3"/>
  <c r="A1186" i="3"/>
  <c r="C900" i="3"/>
  <c r="A1185" i="3"/>
  <c r="D242" i="3"/>
  <c r="A455" i="3"/>
  <c r="C844" i="3"/>
  <c r="A1404" i="3"/>
  <c r="D98" i="3"/>
  <c r="D316" i="3"/>
  <c r="F150" i="3"/>
  <c r="B534" i="3"/>
  <c r="E405" i="3"/>
  <c r="E46" i="3"/>
  <c r="B1071" i="3"/>
  <c r="E43" i="3"/>
  <c r="A1258" i="3"/>
  <c r="B444" i="3"/>
  <c r="A1096" i="3"/>
  <c r="E536" i="3"/>
  <c r="A685" i="3"/>
  <c r="A433" i="3"/>
  <c r="A1012" i="3"/>
  <c r="A495" i="3"/>
  <c r="D1013" i="3"/>
  <c r="E1177" i="3"/>
  <c r="A983" i="3"/>
  <c r="D1038" i="3"/>
  <c r="A1235" i="3"/>
  <c r="C187" i="3"/>
  <c r="B567" i="3"/>
  <c r="F407" i="3"/>
  <c r="F1341" i="3"/>
  <c r="B577" i="3"/>
  <c r="B723" i="3"/>
  <c r="A1117" i="3"/>
  <c r="A34" i="3"/>
  <c r="A936" i="3"/>
  <c r="B530" i="3"/>
  <c r="E207" i="3"/>
  <c r="A1275" i="3"/>
  <c r="E1384" i="3"/>
  <c r="F101" i="3"/>
  <c r="F475" i="3"/>
  <c r="C1377" i="3"/>
  <c r="B1093" i="3"/>
  <c r="C1035" i="3"/>
  <c r="C1381" i="3"/>
  <c r="E1138" i="3"/>
  <c r="D195" i="3"/>
  <c r="E956" i="3"/>
  <c r="C973" i="3"/>
  <c r="B1078" i="3"/>
  <c r="B618" i="3"/>
  <c r="D882" i="3"/>
  <c r="E65" i="3"/>
  <c r="C415" i="3"/>
  <c r="A1125" i="3"/>
  <c r="C1146" i="3"/>
  <c r="E1094" i="3"/>
  <c r="D1098" i="3"/>
  <c r="A1176" i="3"/>
  <c r="F505" i="3"/>
  <c r="A890" i="3"/>
  <c r="B1387" i="3"/>
  <c r="F366" i="3"/>
  <c r="D755" i="3"/>
  <c r="D652" i="3"/>
  <c r="F1033" i="3"/>
  <c r="A718" i="3"/>
  <c r="C1134" i="3"/>
  <c r="C1121" i="3"/>
  <c r="D606" i="3"/>
  <c r="E767" i="3"/>
  <c r="D1344" i="3"/>
  <c r="E734" i="3"/>
  <c r="C1296" i="3"/>
  <c r="F922" i="3"/>
  <c r="C834" i="3"/>
  <c r="E869" i="3"/>
  <c r="D572" i="3"/>
  <c r="E1403" i="3"/>
  <c r="D1329" i="3"/>
  <c r="E466" i="3"/>
  <c r="D1171" i="3"/>
  <c r="D1067" i="3"/>
  <c r="C422" i="3"/>
  <c r="E1174" i="3"/>
  <c r="B833" i="3"/>
  <c r="D890" i="3"/>
  <c r="C1425" i="3"/>
  <c r="C1387" i="3"/>
  <c r="B1357" i="3"/>
  <c r="F3" i="3"/>
  <c r="B487" i="3"/>
  <c r="D579" i="3"/>
  <c r="E318" i="3"/>
  <c r="A286" i="3"/>
  <c r="F297" i="3"/>
  <c r="E931" i="3"/>
  <c r="A881" i="3"/>
  <c r="A474" i="3"/>
  <c r="F357" i="3"/>
  <c r="F1388" i="3"/>
  <c r="A796" i="3"/>
  <c r="A385" i="3"/>
  <c r="A1397" i="3"/>
  <c r="D1337" i="3"/>
  <c r="B710" i="3"/>
  <c r="B1020" i="3"/>
  <c r="E1176" i="3"/>
  <c r="C688" i="3"/>
  <c r="E866" i="3"/>
  <c r="C543" i="3"/>
  <c r="E669" i="3"/>
  <c r="F1091" i="3"/>
  <c r="D730" i="3"/>
  <c r="E796" i="3"/>
  <c r="D69" i="3"/>
  <c r="C1192" i="3"/>
  <c r="B801" i="3"/>
  <c r="D139" i="3"/>
  <c r="C206" i="3"/>
  <c r="A1342" i="3"/>
  <c r="A1141" i="3"/>
  <c r="A1273" i="3"/>
  <c r="D896" i="3"/>
  <c r="C1239" i="3"/>
  <c r="E452" i="3"/>
  <c r="C330" i="3"/>
  <c r="B103" i="3"/>
  <c r="B1174" i="3"/>
  <c r="D113" i="3"/>
  <c r="B450" i="3"/>
  <c r="C507" i="3"/>
  <c r="E1217" i="3"/>
  <c r="C373" i="3"/>
  <c r="D952" i="3"/>
  <c r="F878" i="3"/>
  <c r="C859" i="3"/>
  <c r="E136" i="3"/>
  <c r="A1225" i="3"/>
  <c r="F725" i="3"/>
  <c r="F1122" i="3"/>
  <c r="F1085" i="3"/>
  <c r="B1413" i="3"/>
  <c r="B829" i="3"/>
  <c r="A1046" i="3"/>
  <c r="B68" i="3"/>
  <c r="A641" i="3"/>
  <c r="D1407" i="3"/>
  <c r="A532" i="3"/>
  <c r="E872" i="3"/>
  <c r="D1383" i="3"/>
  <c r="A1326" i="3"/>
  <c r="E1186" i="3"/>
  <c r="E292" i="3"/>
  <c r="A1234" i="3"/>
  <c r="F675" i="3"/>
  <c r="E1310" i="3"/>
  <c r="B1404" i="3"/>
  <c r="D651" i="3"/>
  <c r="D1314" i="3"/>
  <c r="D861" i="3"/>
  <c r="E1106" i="3"/>
  <c r="A1132" i="3"/>
  <c r="F1280" i="3"/>
  <c r="F1333" i="3"/>
  <c r="B178" i="3"/>
  <c r="C419" i="3"/>
  <c r="B1091" i="3"/>
  <c r="D1247" i="3"/>
  <c r="F961" i="3"/>
  <c r="F1209" i="3"/>
  <c r="E1392" i="3"/>
  <c r="A957" i="3"/>
  <c r="D824" i="3"/>
  <c r="B1037" i="3"/>
  <c r="F1144" i="3"/>
  <c r="B311" i="3"/>
  <c r="B1032" i="3"/>
  <c r="C1255" i="3"/>
  <c r="B513" i="3"/>
  <c r="C1224" i="3"/>
  <c r="D1228" i="3"/>
  <c r="A170" i="3"/>
  <c r="A897" i="3"/>
  <c r="D1021" i="3"/>
  <c r="B634" i="3"/>
  <c r="B607" i="3"/>
  <c r="A668" i="3"/>
  <c r="C558" i="3"/>
  <c r="E433" i="3"/>
  <c r="F944" i="3"/>
  <c r="E678" i="3"/>
  <c r="B1068" i="3"/>
  <c r="C380" i="3"/>
  <c r="A544" i="3"/>
  <c r="F1369" i="3"/>
  <c r="D1376" i="3"/>
  <c r="B982" i="3"/>
  <c r="B1385" i="3"/>
  <c r="D758" i="3"/>
  <c r="A1091" i="3"/>
  <c r="F593" i="3"/>
  <c r="B835" i="3"/>
  <c r="A1339" i="3"/>
  <c r="E754" i="3"/>
  <c r="F1329" i="3"/>
  <c r="D1145" i="3"/>
  <c r="B1027" i="3"/>
  <c r="A942" i="3"/>
  <c r="B1305" i="3"/>
  <c r="E1248" i="3"/>
  <c r="C714" i="3"/>
  <c r="E564" i="3"/>
  <c r="A813" i="3"/>
  <c r="B122" i="3"/>
  <c r="C1154" i="3"/>
  <c r="B1251" i="3"/>
  <c r="B303" i="3"/>
  <c r="A1303" i="3"/>
  <c r="F1063" i="3"/>
  <c r="D1361" i="3"/>
  <c r="A1394" i="3"/>
  <c r="F1046" i="3"/>
  <c r="E1421" i="3"/>
  <c r="E443" i="3"/>
  <c r="B1166" i="3"/>
  <c r="A629" i="3"/>
  <c r="A545" i="3"/>
  <c r="F558" i="3"/>
  <c r="F1201" i="3"/>
  <c r="B836" i="3"/>
  <c r="C1031" i="3"/>
  <c r="B935" i="3"/>
  <c r="E351" i="3"/>
  <c r="A1262" i="3"/>
  <c r="D1020" i="3"/>
  <c r="B860" i="3"/>
  <c r="E897" i="3"/>
  <c r="D482" i="3"/>
  <c r="B1248" i="3"/>
  <c r="B388" i="3"/>
  <c r="E1009" i="3"/>
  <c r="C1408" i="3"/>
  <c r="D580" i="3"/>
  <c r="F816" i="3"/>
  <c r="C891" i="3"/>
  <c r="A860" i="3"/>
  <c r="B1303" i="3"/>
  <c r="A638" i="3"/>
  <c r="F603" i="3"/>
  <c r="A568" i="3"/>
  <c r="D1118" i="3"/>
  <c r="B1207" i="3"/>
  <c r="D503" i="3"/>
  <c r="C1262" i="3"/>
  <c r="E911" i="3"/>
  <c r="B1350" i="3"/>
  <c r="B647" i="3"/>
  <c r="B1352" i="3"/>
  <c r="A961" i="3"/>
  <c r="D348" i="3"/>
  <c r="A227" i="3"/>
  <c r="B1356" i="3"/>
  <c r="F782" i="3"/>
  <c r="B650" i="3"/>
  <c r="B736" i="3"/>
  <c r="F525" i="3"/>
  <c r="F1095" i="3"/>
  <c r="A877" i="3"/>
  <c r="D1256" i="3"/>
  <c r="E1274" i="3"/>
  <c r="D532" i="3"/>
  <c r="D852" i="3"/>
  <c r="A856" i="3"/>
  <c r="A1287" i="3"/>
  <c r="E528" i="3"/>
  <c r="E1247" i="3"/>
  <c r="F1260" i="3"/>
  <c r="A687" i="3"/>
  <c r="E935" i="3"/>
  <c r="F980" i="3"/>
  <c r="A498" i="3"/>
  <c r="E446" i="3"/>
  <c r="F869" i="3"/>
  <c r="E1412" i="3"/>
  <c r="B981" i="3"/>
  <c r="D100" i="3"/>
  <c r="A297" i="3"/>
  <c r="B873" i="3"/>
  <c r="D426" i="3"/>
  <c r="C661" i="3"/>
  <c r="A1134" i="3"/>
  <c r="E927" i="3"/>
  <c r="D721" i="3"/>
  <c r="C1302" i="3"/>
  <c r="F511" i="3"/>
  <c r="A1423" i="3"/>
  <c r="F1344" i="3"/>
  <c r="E1279" i="3"/>
  <c r="C609" i="3"/>
  <c r="B576" i="3"/>
  <c r="C457" i="3"/>
  <c r="C748" i="3"/>
  <c r="C962" i="3"/>
  <c r="D654" i="3"/>
  <c r="D21" i="3"/>
  <c r="D472" i="3"/>
  <c r="E756" i="3"/>
  <c r="E1391" i="3"/>
  <c r="C632" i="3"/>
  <c r="F891" i="3"/>
  <c r="A1322" i="3"/>
  <c r="B655" i="3"/>
  <c r="F787" i="3"/>
  <c r="F1328" i="3"/>
  <c r="F1383" i="3"/>
  <c r="A1337" i="3"/>
  <c r="C1176" i="3"/>
  <c r="E740" i="3"/>
  <c r="E1181" i="3"/>
  <c r="E1105" i="3"/>
  <c r="A993" i="3"/>
  <c r="E239" i="3"/>
  <c r="C464" i="3"/>
  <c r="C637" i="3"/>
  <c r="F1114" i="3"/>
  <c r="D880" i="3"/>
  <c r="D641" i="3"/>
  <c r="B519" i="3"/>
  <c r="A404" i="3"/>
  <c r="E865" i="3"/>
  <c r="D560" i="3"/>
  <c r="B361" i="3"/>
  <c r="B409" i="3"/>
  <c r="C1051" i="3"/>
  <c r="E419" i="3"/>
  <c r="D1164" i="3"/>
  <c r="A698" i="3"/>
  <c r="D1301" i="3"/>
  <c r="C574" i="3"/>
  <c r="C1420" i="3"/>
  <c r="E286" i="3"/>
  <c r="E652" i="3"/>
  <c r="D575" i="3"/>
  <c r="E928" i="3"/>
  <c r="B977" i="3"/>
  <c r="B944" i="3"/>
  <c r="E598" i="3"/>
  <c r="D637" i="3"/>
  <c r="A443" i="3"/>
  <c r="E227" i="3"/>
  <c r="D477" i="3"/>
  <c r="F419" i="3"/>
  <c r="B995" i="3"/>
  <c r="E1013" i="3"/>
  <c r="A696" i="3"/>
  <c r="D835" i="3"/>
  <c r="F834" i="3"/>
  <c r="A815" i="3"/>
  <c r="B950" i="3"/>
  <c r="B1275" i="3"/>
  <c r="C1273" i="3"/>
  <c r="F660" i="3"/>
  <c r="A1038" i="3"/>
  <c r="A978" i="3"/>
  <c r="B841" i="3"/>
  <c r="E1333" i="3"/>
  <c r="F722" i="3"/>
  <c r="B1008" i="3"/>
  <c r="E1235" i="3"/>
  <c r="F249" i="3"/>
  <c r="F578" i="3"/>
  <c r="F1228" i="3"/>
  <c r="B1281" i="3"/>
  <c r="F1406" i="3"/>
  <c r="C743" i="3"/>
  <c r="C1045" i="3"/>
  <c r="A1285" i="3"/>
  <c r="E971" i="3"/>
  <c r="E1201" i="3"/>
  <c r="A697" i="3"/>
  <c r="E552" i="3"/>
  <c r="A329" i="3"/>
  <c r="B727" i="3"/>
  <c r="F1366" i="3"/>
  <c r="E934" i="3"/>
  <c r="E864" i="3"/>
  <c r="C545" i="3"/>
  <c r="B715" i="3"/>
  <c r="F1150" i="3"/>
  <c r="C1114" i="3"/>
  <c r="C964" i="3"/>
  <c r="D1351" i="3"/>
  <c r="A1233" i="3"/>
  <c r="D1132" i="3"/>
  <c r="A800" i="3"/>
  <c r="A948" i="3"/>
  <c r="B874" i="3"/>
  <c r="C766" i="3"/>
  <c r="B155" i="3"/>
  <c r="E720" i="3"/>
  <c r="E815" i="3"/>
  <c r="B637" i="3"/>
  <c r="A1329" i="3"/>
  <c r="E1120" i="3"/>
  <c r="E1017" i="3"/>
  <c r="B558" i="3"/>
  <c r="C502" i="3"/>
  <c r="F1054" i="3"/>
  <c r="C892" i="3"/>
  <c r="A912" i="3"/>
  <c r="C207" i="3"/>
  <c r="B1368" i="3"/>
  <c r="E655" i="3"/>
  <c r="B1376" i="3"/>
  <c r="A194" i="3"/>
  <c r="F1066" i="3"/>
  <c r="D521" i="3"/>
  <c r="E1303" i="3"/>
  <c r="D946" i="3"/>
  <c r="C1229" i="3"/>
  <c r="A1367" i="3"/>
  <c r="C863" i="3"/>
  <c r="C569" i="3"/>
  <c r="D583" i="3"/>
  <c r="F1207" i="3"/>
  <c r="F943" i="3"/>
  <c r="A1360" i="3"/>
  <c r="D155" i="3"/>
  <c r="E1340" i="3"/>
  <c r="E651" i="3"/>
  <c r="C1064" i="3"/>
  <c r="D1180" i="3"/>
  <c r="D1023" i="3"/>
  <c r="D1331" i="3"/>
  <c r="E1034" i="3"/>
  <c r="D673" i="3"/>
  <c r="D1269" i="3"/>
  <c r="A295" i="3"/>
  <c r="C1410" i="3"/>
  <c r="C384" i="3"/>
  <c r="A888" i="3"/>
  <c r="F135" i="3"/>
  <c r="A1340" i="3"/>
  <c r="A996" i="3"/>
  <c r="F1094" i="3"/>
  <c r="D1384" i="3"/>
  <c r="E823" i="3"/>
  <c r="E374" i="3"/>
  <c r="B1117" i="3"/>
  <c r="C762" i="3"/>
  <c r="C698" i="3"/>
  <c r="D44" i="3"/>
  <c r="E314" i="3"/>
  <c r="E1005" i="3"/>
  <c r="A1146" i="3"/>
  <c r="E777" i="3"/>
  <c r="A559" i="3"/>
  <c r="A533" i="3"/>
  <c r="A1052" i="3"/>
  <c r="A274" i="3"/>
  <c r="A628" i="3"/>
  <c r="E1081" i="3"/>
  <c r="B1058" i="3"/>
  <c r="E111" i="3"/>
  <c r="F1155" i="3"/>
  <c r="D437" i="3"/>
  <c r="A183" i="3"/>
  <c r="B408" i="3"/>
  <c r="E1347" i="3"/>
  <c r="A239" i="3"/>
  <c r="A1312" i="3"/>
  <c r="B707" i="3"/>
  <c r="A65" i="3"/>
  <c r="B1347" i="3"/>
  <c r="A1167" i="3"/>
  <c r="B945" i="3"/>
  <c r="F1002" i="3"/>
  <c r="E816" i="3"/>
  <c r="D668" i="3"/>
  <c r="F767" i="3"/>
  <c r="A477" i="3"/>
  <c r="C128" i="3"/>
  <c r="D124" i="3"/>
  <c r="D101" i="3"/>
  <c r="E640" i="3"/>
  <c r="C556" i="3"/>
  <c r="E1198" i="3"/>
  <c r="F508" i="3"/>
  <c r="E630" i="3"/>
  <c r="D1120" i="3"/>
  <c r="B1373" i="3"/>
  <c r="F1391" i="3"/>
  <c r="B1187" i="3"/>
  <c r="E896" i="3"/>
  <c r="C616" i="3"/>
  <c r="C1122" i="3"/>
  <c r="F1348" i="3"/>
  <c r="D925" i="3"/>
  <c r="B1366" i="3"/>
  <c r="A256" i="3"/>
  <c r="C512" i="3"/>
  <c r="B1273" i="3"/>
  <c r="E799" i="3"/>
  <c r="B301" i="3"/>
  <c r="A622" i="3"/>
  <c r="C950" i="3"/>
  <c r="A362" i="3"/>
  <c r="C1251" i="3"/>
  <c r="C1369" i="3"/>
  <c r="D780" i="3"/>
  <c r="C715" i="3"/>
  <c r="C687" i="3"/>
  <c r="B1082" i="3"/>
  <c r="F776" i="3"/>
  <c r="A1214" i="3"/>
  <c r="E824" i="3"/>
  <c r="D767" i="3"/>
  <c r="F1018" i="3"/>
  <c r="C765" i="3"/>
  <c r="C893" i="3"/>
  <c r="A766" i="3"/>
  <c r="B250" i="3"/>
  <c r="C939" i="3"/>
  <c r="D988" i="3"/>
  <c r="C139" i="3"/>
  <c r="D74" i="3"/>
  <c r="F331" i="3"/>
  <c r="D1102" i="3"/>
  <c r="F391" i="3"/>
  <c r="B277" i="3"/>
  <c r="D724" i="3"/>
  <c r="F1006" i="3"/>
  <c r="F854" i="3"/>
  <c r="D1146" i="3"/>
  <c r="E604" i="3"/>
  <c r="F557" i="3"/>
  <c r="D843" i="3"/>
  <c r="B602" i="3"/>
  <c r="B1272" i="3"/>
  <c r="A591" i="3"/>
  <c r="B365" i="3"/>
  <c r="F658" i="3"/>
  <c r="A324" i="3"/>
  <c r="A1068" i="3"/>
  <c r="D208" i="3"/>
  <c r="A848" i="3"/>
  <c r="D1170" i="3"/>
  <c r="B1274" i="3"/>
  <c r="D1397" i="3"/>
  <c r="B872" i="3"/>
  <c r="B1211" i="3"/>
  <c r="F572" i="3"/>
  <c r="F907" i="3"/>
  <c r="F1340" i="3"/>
  <c r="B543" i="3"/>
  <c r="E1237" i="3"/>
  <c r="B1331" i="3"/>
  <c r="D249" i="3"/>
  <c r="C383" i="3"/>
  <c r="D590" i="3"/>
  <c r="A905" i="3"/>
  <c r="A823" i="3"/>
  <c r="E623" i="3"/>
  <c r="B1227" i="3"/>
  <c r="D421" i="3"/>
  <c r="A548" i="3"/>
  <c r="E790" i="3"/>
  <c r="C885" i="3"/>
  <c r="B1258" i="3"/>
  <c r="D1251" i="3"/>
  <c r="A1226" i="3"/>
  <c r="B773" i="3"/>
  <c r="B1094" i="3"/>
  <c r="F1113" i="3"/>
  <c r="E1107" i="3"/>
  <c r="F504" i="3"/>
  <c r="C813" i="3"/>
  <c r="F1396" i="3"/>
  <c r="E1275" i="3"/>
  <c r="F1338" i="3"/>
  <c r="B426" i="3"/>
  <c r="A1002" i="3"/>
  <c r="D951" i="3"/>
  <c r="C1042" i="3"/>
  <c r="F183" i="3"/>
  <c r="A953" i="3"/>
  <c r="B1383" i="3"/>
  <c r="D956" i="3"/>
  <c r="C1345" i="3"/>
  <c r="B603" i="3"/>
  <c r="D725" i="3"/>
  <c r="E774" i="3"/>
  <c r="B664" i="3"/>
  <c r="C855" i="3"/>
  <c r="E1388" i="3"/>
  <c r="F884" i="3"/>
  <c r="F313" i="3"/>
  <c r="C1060" i="3"/>
  <c r="F520" i="3"/>
  <c r="F1408" i="3"/>
  <c r="C941" i="3"/>
  <c r="B966" i="3"/>
  <c r="A640" i="3"/>
  <c r="E277" i="3"/>
  <c r="D764" i="3"/>
  <c r="F885" i="3"/>
  <c r="B1136" i="3"/>
  <c r="F1386" i="3"/>
  <c r="D558" i="3"/>
  <c r="C831" i="3"/>
  <c r="A1127" i="3"/>
  <c r="B1304" i="3"/>
  <c r="F844" i="3"/>
  <c r="C413" i="3"/>
  <c r="B942" i="3"/>
  <c r="F1421" i="3"/>
  <c r="F1000" i="3"/>
  <c r="D978" i="3"/>
  <c r="C1133" i="3"/>
  <c r="D1303" i="3"/>
  <c r="C1021" i="3"/>
  <c r="E1083" i="3"/>
  <c r="D1385" i="3"/>
  <c r="C1234" i="3"/>
  <c r="C196" i="3"/>
  <c r="F750" i="3"/>
  <c r="A792" i="3"/>
  <c r="A393" i="3"/>
  <c r="F394" i="3"/>
  <c r="C644" i="3"/>
  <c r="D776" i="3"/>
  <c r="A1138" i="3"/>
  <c r="E712" i="3"/>
  <c r="B1160" i="3"/>
  <c r="C1384" i="3"/>
  <c r="F1205" i="3"/>
  <c r="A876" i="3"/>
  <c r="E944" i="3"/>
  <c r="F1392" i="3"/>
  <c r="C1247" i="3"/>
  <c r="C1136" i="3"/>
  <c r="F1072" i="3"/>
  <c r="E779" i="3"/>
  <c r="B1006" i="3"/>
  <c r="F1300" i="3"/>
  <c r="B768" i="3"/>
  <c r="E1156" i="3"/>
  <c r="D610" i="3"/>
  <c r="D818" i="3"/>
  <c r="E514" i="3"/>
  <c r="C1003" i="3"/>
  <c r="F683" i="3"/>
  <c r="A844" i="3"/>
  <c r="C1350" i="3"/>
  <c r="C682" i="3"/>
  <c r="A1383" i="3"/>
  <c r="A984" i="3"/>
  <c r="B822" i="3"/>
  <c r="B760" i="3"/>
  <c r="D875" i="3"/>
  <c r="A1184" i="3"/>
  <c r="C1006" i="3"/>
  <c r="D1222" i="3"/>
  <c r="F1229" i="3"/>
  <c r="C633" i="3"/>
  <c r="E32" i="3"/>
  <c r="A1296" i="3"/>
  <c r="C937" i="3"/>
  <c r="A1240" i="3"/>
  <c r="E1152" i="3"/>
  <c r="E217" i="3"/>
  <c r="E989" i="3"/>
  <c r="C566" i="3"/>
  <c r="E904" i="3"/>
  <c r="C333" i="3"/>
  <c r="A825" i="3"/>
  <c r="A1348" i="3"/>
  <c r="C883" i="3"/>
  <c r="D1246" i="3"/>
  <c r="E788" i="3"/>
  <c r="B568" i="3"/>
  <c r="C522" i="3"/>
  <c r="F640" i="3"/>
  <c r="F1157" i="3"/>
  <c r="D1233" i="3"/>
  <c r="D964" i="3"/>
  <c r="C997" i="3"/>
  <c r="C809" i="3"/>
  <c r="A985" i="3"/>
  <c r="A1304" i="3"/>
  <c r="C1291" i="3"/>
  <c r="C1082" i="3"/>
  <c r="C1055" i="3"/>
  <c r="A1380" i="3"/>
  <c r="C1074" i="3"/>
  <c r="A850" i="3"/>
  <c r="D769" i="3"/>
  <c r="D556" i="3"/>
  <c r="F795" i="3"/>
  <c r="A974" i="3"/>
  <c r="C412" i="3"/>
  <c r="B861" i="3"/>
  <c r="E755" i="3"/>
  <c r="F1166" i="3"/>
  <c r="C288" i="3"/>
  <c r="C312" i="3"/>
  <c r="F414" i="3"/>
  <c r="B1384" i="3"/>
  <c r="C1313" i="3"/>
  <c r="F1161" i="3"/>
  <c r="B930" i="3"/>
  <c r="C1166" i="3"/>
  <c r="A551" i="3"/>
  <c r="B918" i="3"/>
  <c r="E1358" i="3"/>
  <c r="E1092" i="3"/>
  <c r="C1405" i="3"/>
  <c r="D52" i="3"/>
  <c r="F1312" i="3"/>
  <c r="E1082" i="3"/>
  <c r="C538" i="3"/>
  <c r="A523" i="3"/>
  <c r="E1415" i="3"/>
  <c r="F207" i="3"/>
  <c r="F1148" i="3"/>
  <c r="A1293" i="3"/>
  <c r="D696" i="3"/>
  <c r="F253" i="3"/>
  <c r="C323" i="3"/>
  <c r="E125" i="3"/>
  <c r="F695" i="3"/>
  <c r="A1166" i="3"/>
  <c r="E1218" i="3"/>
  <c r="B233" i="3"/>
  <c r="F831" i="3"/>
  <c r="F917" i="3"/>
  <c r="B931" i="3"/>
  <c r="B617" i="3"/>
  <c r="B1284" i="3"/>
  <c r="A1247" i="3"/>
  <c r="E557" i="3"/>
  <c r="E975" i="3"/>
  <c r="C1085" i="3"/>
  <c r="D907" i="3"/>
  <c r="A1243" i="3"/>
  <c r="E532" i="3"/>
  <c r="B1372" i="3"/>
  <c r="B1330" i="3"/>
  <c r="D931" i="3"/>
  <c r="E1209" i="3"/>
  <c r="F1420" i="3"/>
  <c r="D602" i="3"/>
  <c r="E543" i="3"/>
  <c r="F141" i="3"/>
  <c r="B1059" i="3"/>
  <c r="A816" i="3"/>
  <c r="A1351" i="3"/>
  <c r="F1334" i="3"/>
  <c r="F794" i="3"/>
  <c r="D1187" i="3"/>
  <c r="B1029" i="3"/>
  <c r="D1213" i="3"/>
  <c r="B1009" i="3"/>
  <c r="D1044" i="3"/>
  <c r="E1359" i="3"/>
  <c r="E1043" i="3"/>
  <c r="D598" i="3"/>
  <c r="D1111" i="3"/>
  <c r="A658" i="3"/>
  <c r="A1376" i="3"/>
  <c r="A1335" i="3"/>
  <c r="A665" i="3"/>
  <c r="A1089" i="3"/>
  <c r="E596" i="3"/>
  <c r="A1206" i="3"/>
  <c r="B376" i="3"/>
  <c r="E819" i="3"/>
  <c r="F1273" i="3"/>
  <c r="A691" i="3"/>
  <c r="B1188" i="3"/>
  <c r="E1204" i="3"/>
  <c r="A46" i="3"/>
  <c r="F676" i="3"/>
  <c r="F853" i="3"/>
  <c r="B994" i="3"/>
  <c r="D1421" i="3"/>
  <c r="A1010" i="3"/>
  <c r="D479" i="3"/>
  <c r="A786" i="3"/>
  <c r="F1064" i="3"/>
  <c r="E1341" i="3"/>
  <c r="C853" i="3"/>
  <c r="A865" i="3"/>
  <c r="D1370" i="3"/>
  <c r="C1367" i="3"/>
  <c r="D622" i="3"/>
  <c r="F79" i="3"/>
  <c r="E758" i="3"/>
  <c r="B322" i="3"/>
  <c r="C1385" i="3"/>
  <c r="B747" i="3"/>
  <c r="E1195" i="3"/>
  <c r="D962" i="3"/>
  <c r="D1059" i="3"/>
  <c r="D1414" i="3"/>
  <c r="D1265" i="3"/>
  <c r="B1086" i="3"/>
  <c r="B565" i="3"/>
  <c r="A1051" i="3"/>
  <c r="E375" i="3"/>
  <c r="A1412" i="3"/>
  <c r="F989" i="3"/>
  <c r="F716" i="3"/>
  <c r="B1235" i="3"/>
  <c r="D1411" i="3"/>
  <c r="E487" i="3"/>
  <c r="D1409" i="3"/>
  <c r="E1345" i="3"/>
  <c r="A1193" i="3"/>
  <c r="F858" i="3"/>
  <c r="E98" i="3"/>
  <c r="E472" i="3"/>
  <c r="C974" i="3"/>
  <c r="F786" i="3"/>
  <c r="D686" i="3"/>
  <c r="B767" i="3"/>
  <c r="D707" i="3"/>
  <c r="E698" i="3"/>
  <c r="C561" i="3"/>
  <c r="D192" i="3"/>
  <c r="D425" i="3"/>
  <c r="D1016" i="3"/>
  <c r="E469" i="3"/>
  <c r="C293" i="3"/>
  <c r="A325" i="3"/>
  <c r="C1331" i="3"/>
  <c r="E1159" i="3"/>
  <c r="C1188" i="3"/>
  <c r="F645" i="3"/>
  <c r="D1239" i="3"/>
  <c r="F829" i="3"/>
  <c r="E806" i="3"/>
  <c r="E458" i="3"/>
  <c r="D581" i="3"/>
  <c r="D168" i="3"/>
  <c r="B1243" i="3"/>
  <c r="D855" i="3"/>
  <c r="D1069" i="3"/>
  <c r="A310" i="3"/>
  <c r="D601" i="3"/>
  <c r="A643" i="3"/>
  <c r="B960" i="3"/>
  <c r="C299" i="3"/>
  <c r="A829" i="3"/>
  <c r="A803" i="3"/>
  <c r="F1376" i="3"/>
  <c r="A192" i="3"/>
  <c r="D298" i="3"/>
  <c r="B548" i="3"/>
  <c r="B1278" i="3"/>
  <c r="A992" i="3"/>
  <c r="C1260" i="3"/>
  <c r="A857" i="3"/>
  <c r="A730" i="3"/>
  <c r="E1285" i="3"/>
  <c r="F674" i="3"/>
  <c r="E377" i="3"/>
  <c r="C1379" i="3"/>
  <c r="D942" i="3"/>
  <c r="A853" i="3"/>
  <c r="E631" i="3"/>
  <c r="B229" i="3"/>
  <c r="F837" i="3"/>
  <c r="A1085" i="3"/>
  <c r="A1204" i="3"/>
  <c r="C477" i="3"/>
  <c r="B785" i="3"/>
  <c r="E1369" i="3"/>
  <c r="E468" i="3"/>
  <c r="E1329" i="3"/>
  <c r="F1363" i="3"/>
  <c r="E592" i="3"/>
  <c r="E1014" i="3"/>
  <c r="F1289" i="3"/>
  <c r="F1104" i="3"/>
  <c r="B1026" i="3"/>
  <c r="E972" i="3"/>
  <c r="D1002" i="3"/>
  <c r="A282" i="3"/>
  <c r="F1356" i="3"/>
  <c r="D67" i="3"/>
  <c r="E1054" i="3"/>
  <c r="F1136" i="3"/>
  <c r="E646" i="3"/>
  <c r="F753" i="3"/>
  <c r="B869" i="3"/>
  <c r="B910" i="3"/>
  <c r="E503" i="3"/>
  <c r="C640" i="3"/>
  <c r="B1233" i="3"/>
  <c r="D768" i="3"/>
  <c r="F1175" i="3"/>
  <c r="D1281" i="3"/>
  <c r="B921" i="3"/>
  <c r="F757" i="3"/>
  <c r="E784" i="3"/>
  <c r="F627" i="3"/>
  <c r="E1250" i="3"/>
  <c r="A1064" i="3"/>
  <c r="B1001" i="3"/>
  <c r="B204" i="3"/>
  <c r="D4" i="3"/>
  <c r="B529" i="3"/>
  <c r="E430" i="3"/>
  <c r="C719" i="3"/>
  <c r="C1311" i="3"/>
  <c r="C1383" i="3"/>
  <c r="F426" i="3"/>
  <c r="E891" i="3"/>
  <c r="A435" i="3"/>
  <c r="D1158" i="3"/>
  <c r="A470" i="3"/>
  <c r="C890" i="3"/>
  <c r="F538" i="3"/>
  <c r="E710" i="3"/>
  <c r="C385" i="3"/>
  <c r="E1306" i="3"/>
  <c r="D595" i="3"/>
  <c r="B1239" i="3"/>
  <c r="C188" i="3"/>
  <c r="C722" i="3"/>
  <c r="A191" i="3"/>
  <c r="D493" i="3"/>
  <c r="F1412" i="3"/>
  <c r="F1411" i="3"/>
  <c r="A412" i="3"/>
  <c r="F1164" i="3"/>
  <c r="A128" i="3"/>
  <c r="E854" i="3"/>
  <c r="B828" i="3"/>
  <c r="F788" i="3"/>
  <c r="A270" i="3"/>
  <c r="E154" i="3"/>
  <c r="F322" i="3"/>
  <c r="B689" i="3"/>
  <c r="A650" i="3"/>
  <c r="E1297" i="3"/>
  <c r="F418" i="3"/>
  <c r="F1181" i="3"/>
  <c r="F642" i="3"/>
  <c r="B1420" i="3"/>
  <c r="A430" i="3"/>
  <c r="A726" i="3"/>
  <c r="B1215" i="3"/>
  <c r="B313" i="3"/>
  <c r="E1056" i="3"/>
  <c r="B199" i="3"/>
  <c r="A1042" i="3"/>
  <c r="A517" i="3"/>
  <c r="C1294" i="3"/>
  <c r="B1276" i="3"/>
  <c r="D1082" i="3"/>
  <c r="E880" i="3"/>
  <c r="D803" i="3"/>
  <c r="D899" i="3"/>
  <c r="F802" i="3"/>
  <c r="D384" i="3"/>
  <c r="A382" i="3"/>
  <c r="B540" i="3"/>
  <c r="F842" i="3"/>
  <c r="D778" i="3"/>
  <c r="B973" i="3"/>
  <c r="B506" i="3"/>
  <c r="C530" i="3"/>
  <c r="C400" i="3"/>
  <c r="A1349" i="3"/>
  <c r="C915" i="3"/>
  <c r="F613" i="3"/>
  <c r="F804" i="3"/>
  <c r="C1101" i="3"/>
  <c r="B391" i="3"/>
  <c r="C221" i="3"/>
  <c r="E581" i="3"/>
  <c r="E1322" i="3"/>
  <c r="B390" i="3"/>
  <c r="A693" i="3"/>
  <c r="B810" i="3"/>
  <c r="C899" i="3"/>
  <c r="F1103" i="3"/>
  <c r="A589" i="3"/>
  <c r="F781" i="3"/>
  <c r="B766" i="3"/>
  <c r="A1191" i="3"/>
  <c r="E470" i="3"/>
  <c r="A934" i="3"/>
  <c r="B340" i="3"/>
  <c r="C320" i="3"/>
  <c r="D786" i="3"/>
  <c r="E705" i="3"/>
  <c r="B778" i="3"/>
  <c r="C1056" i="3"/>
  <c r="D998" i="3"/>
  <c r="A1311" i="3"/>
  <c r="E1229" i="3"/>
  <c r="D410" i="3"/>
  <c r="C1386" i="3"/>
  <c r="F890" i="3"/>
  <c r="D353" i="3"/>
  <c r="B1023" i="3"/>
  <c r="B566" i="3"/>
  <c r="D576" i="3"/>
  <c r="B843" i="3"/>
  <c r="F163" i="3"/>
  <c r="C1129" i="3"/>
  <c r="D697" i="3"/>
  <c r="F281" i="3"/>
  <c r="B1214" i="3"/>
  <c r="B473" i="3"/>
  <c r="E1419" i="3"/>
  <c r="F330" i="3"/>
  <c r="D799" i="3"/>
  <c r="A500" i="3"/>
  <c r="A1024" i="3"/>
  <c r="A986" i="3"/>
  <c r="A1120" i="3"/>
  <c r="E1089" i="3"/>
  <c r="D1238" i="3"/>
  <c r="A945" i="3"/>
  <c r="A273" i="3"/>
  <c r="E1294" i="3"/>
  <c r="C458" i="3"/>
  <c r="E751" i="3"/>
  <c r="F973" i="3"/>
  <c r="D548" i="3"/>
  <c r="F1152" i="3"/>
  <c r="F326" i="3"/>
  <c r="E1318" i="3"/>
  <c r="F1422" i="3"/>
  <c r="E599" i="3"/>
  <c r="F582" i="3"/>
  <c r="D1353" i="3"/>
  <c r="C952" i="3"/>
  <c r="A615" i="3"/>
  <c r="D134" i="3"/>
  <c r="D165" i="3"/>
  <c r="E255" i="3"/>
  <c r="B202" i="3"/>
  <c r="E725" i="3"/>
  <c r="F818" i="3"/>
  <c r="C434" i="3"/>
  <c r="D926" i="3"/>
  <c r="D398" i="3"/>
  <c r="F1256" i="3"/>
  <c r="B1130" i="3"/>
  <c r="A798" i="3"/>
  <c r="B1293" i="3"/>
  <c r="B1158" i="3"/>
  <c r="C314" i="3"/>
  <c r="F111" i="3"/>
  <c r="E390" i="3"/>
  <c r="B1184" i="3"/>
  <c r="D782" i="3"/>
  <c r="C763" i="3"/>
  <c r="F241" i="3"/>
  <c r="D359" i="3"/>
  <c r="A1344" i="3"/>
  <c r="D1024" i="3"/>
  <c r="A606" i="3"/>
  <c r="F57" i="3"/>
  <c r="D775" i="3"/>
  <c r="A1209" i="3"/>
  <c r="B510" i="3"/>
  <c r="A659" i="3"/>
  <c r="D1036" i="3"/>
  <c r="E1253" i="3"/>
  <c r="D968" i="3"/>
  <c r="A1014" i="3"/>
  <c r="B1041" i="3"/>
  <c r="B428" i="3"/>
  <c r="D1031" i="3"/>
  <c r="D1326" i="3"/>
  <c r="F1090" i="3"/>
  <c r="E1215" i="3"/>
  <c r="C224" i="3"/>
  <c r="F946" i="3"/>
  <c r="C272" i="3"/>
  <c r="D1028" i="3"/>
  <c r="F1379" i="3"/>
  <c r="D630" i="3"/>
  <c r="C1100" i="3"/>
  <c r="F1395" i="3"/>
  <c r="E1162" i="3"/>
  <c r="D1060" i="3"/>
  <c r="C1143" i="3"/>
  <c r="D1063" i="3"/>
  <c r="C845" i="3"/>
  <c r="B228" i="3"/>
  <c r="D484" i="3"/>
  <c r="B1204" i="3"/>
  <c r="B116" i="3"/>
  <c r="B1249" i="3"/>
  <c r="A686" i="3"/>
  <c r="C700" i="3"/>
  <c r="C336" i="3"/>
  <c r="D1040" i="3"/>
  <c r="F574" i="3"/>
  <c r="E372" i="3"/>
  <c r="F1321" i="3"/>
  <c r="E203" i="3"/>
  <c r="D813" i="3"/>
  <c r="F1214" i="3"/>
  <c r="B898" i="3"/>
  <c r="B1277" i="3"/>
  <c r="F1331" i="3"/>
  <c r="B1101" i="3"/>
  <c r="B1060" i="3"/>
  <c r="B779" i="3"/>
  <c r="E597" i="3"/>
  <c r="F236" i="3"/>
  <c r="D853" i="3"/>
  <c r="D607" i="3"/>
  <c r="A799" i="3"/>
  <c r="B742" i="3"/>
  <c r="C1213" i="3"/>
  <c r="C739" i="3"/>
  <c r="F1138" i="3"/>
  <c r="D1183" i="3"/>
  <c r="E863" i="3"/>
  <c r="C485" i="3"/>
  <c r="F1015" i="3"/>
  <c r="E500" i="3"/>
  <c r="E1396" i="3"/>
  <c r="B1280" i="3"/>
  <c r="F1296" i="3"/>
  <c r="E1115" i="3"/>
  <c r="F700" i="3"/>
  <c r="B1298" i="3"/>
  <c r="E952" i="3"/>
  <c r="B1261" i="3"/>
  <c r="C726" i="3"/>
  <c r="E1325" i="3"/>
  <c r="E1244" i="3"/>
  <c r="F1052" i="3"/>
  <c r="B1375" i="3"/>
  <c r="A982" i="3"/>
  <c r="F580" i="3"/>
  <c r="E384" i="3"/>
  <c r="F719" i="3"/>
  <c r="D1416" i="3"/>
  <c r="E1116" i="3"/>
  <c r="E660" i="3"/>
  <c r="D656" i="3"/>
  <c r="E589" i="3"/>
  <c r="E1154" i="3"/>
  <c r="A664" i="3"/>
  <c r="E1243" i="3"/>
  <c r="A1388" i="3"/>
  <c r="E320" i="3"/>
  <c r="D1358" i="3"/>
  <c r="F685" i="3"/>
  <c r="B1161" i="3"/>
  <c r="E1320" i="3"/>
  <c r="C587" i="3"/>
  <c r="A1103" i="3"/>
  <c r="C1094" i="3"/>
  <c r="A613" i="3"/>
  <c r="F779" i="3"/>
  <c r="D736" i="3"/>
  <c r="F1258" i="3"/>
  <c r="B1076" i="3"/>
  <c r="E1041" i="3"/>
  <c r="F797" i="3"/>
  <c r="A1197" i="3"/>
  <c r="A1425" i="3"/>
  <c r="C564" i="3"/>
  <c r="A949" i="3"/>
  <c r="E607" i="3"/>
  <c r="D751" i="3"/>
  <c r="E719" i="3"/>
  <c r="B1234" i="3"/>
  <c r="F1419" i="3"/>
  <c r="C1015" i="3"/>
  <c r="F1048" i="3"/>
  <c r="D753" i="3"/>
  <c r="B1073" i="3"/>
  <c r="F1021" i="3"/>
  <c r="B1361" i="3"/>
  <c r="D1052" i="3"/>
  <c r="E1387" i="3"/>
  <c r="D829" i="3"/>
  <c r="D434" i="3"/>
  <c r="F1145" i="3"/>
  <c r="B1259" i="3"/>
  <c r="E966" i="3"/>
  <c r="E721" i="3"/>
  <c r="C695" i="3"/>
  <c r="C910" i="3"/>
  <c r="B926" i="3"/>
  <c r="F1394" i="3"/>
  <c r="C679" i="3"/>
  <c r="D1091" i="3"/>
  <c r="F817" i="3"/>
  <c r="C1399" i="3"/>
  <c r="D409" i="3"/>
  <c r="E918" i="3"/>
  <c r="C951" i="3"/>
  <c r="D1168" i="3"/>
  <c r="A763" i="3"/>
  <c r="D1152" i="3"/>
  <c r="B1314" i="3"/>
  <c r="A1003" i="3"/>
  <c r="B1040" i="3"/>
  <c r="E766" i="3"/>
  <c r="B578" i="3"/>
  <c r="E350" i="3"/>
  <c r="C1108" i="3"/>
  <c r="D638" i="3"/>
  <c r="F1292" i="3"/>
  <c r="F1093" i="3"/>
  <c r="F999" i="3"/>
  <c r="D163" i="3"/>
  <c r="A720" i="3"/>
  <c r="C1258" i="3"/>
  <c r="B949" i="3"/>
  <c r="C1392" i="3"/>
  <c r="F247" i="3"/>
  <c r="C934" i="3"/>
  <c r="D480" i="3"/>
  <c r="A703" i="3"/>
  <c r="B1343" i="3"/>
  <c r="A950" i="3"/>
  <c r="B1408" i="3"/>
  <c r="F523" i="3"/>
  <c r="E1251" i="3"/>
  <c r="F748" i="3"/>
  <c r="C1414" i="3"/>
  <c r="D893" i="3"/>
  <c r="F1119" i="3"/>
  <c r="B907" i="3"/>
  <c r="E1074" i="3"/>
  <c r="D1388" i="3"/>
  <c r="F1065" i="3"/>
  <c r="A360" i="3"/>
  <c r="C315" i="3"/>
  <c r="B1069" i="3"/>
  <c r="A909" i="3"/>
  <c r="A1108" i="3"/>
  <c r="B526" i="3"/>
  <c r="C1310" i="3"/>
  <c r="E886" i="3"/>
  <c r="C917" i="3"/>
  <c r="B1165" i="3"/>
  <c r="E80" i="3"/>
  <c r="B1034" i="3"/>
  <c r="C696" i="3"/>
  <c r="C508" i="3"/>
  <c r="D1214" i="3"/>
  <c r="A1023" i="3"/>
  <c r="C704" i="3"/>
  <c r="C875" i="3"/>
  <c r="A463" i="3"/>
  <c r="D856" i="3"/>
  <c r="A1400" i="3"/>
  <c r="B854" i="3"/>
  <c r="F154" i="3"/>
  <c r="B1226" i="3"/>
  <c r="B764" i="3"/>
  <c r="D802" i="3"/>
  <c r="C1415" i="3"/>
  <c r="A709" i="3"/>
  <c r="C1388" i="3"/>
  <c r="C1266" i="3"/>
  <c r="E602" i="3"/>
  <c r="F668" i="3"/>
  <c r="D981" i="3"/>
  <c r="E316" i="3"/>
  <c r="B776" i="3"/>
  <c r="D1410" i="3"/>
  <c r="C738" i="3"/>
  <c r="A364" i="3"/>
  <c r="D1216" i="3"/>
  <c r="A207" i="3"/>
  <c r="D748" i="3"/>
  <c r="F515" i="3"/>
  <c r="D143" i="3"/>
  <c r="B452" i="3"/>
  <c r="B1300" i="3"/>
  <c r="E1286" i="3"/>
  <c r="B1212" i="3"/>
  <c r="C444" i="3"/>
  <c r="B1108" i="3"/>
  <c r="C1280" i="3"/>
  <c r="C1036" i="3"/>
  <c r="F1172" i="3"/>
  <c r="A1135" i="3"/>
  <c r="B959" i="3"/>
  <c r="A1228" i="3"/>
  <c r="C1014" i="3"/>
  <c r="D1240" i="3"/>
  <c r="E1228" i="3"/>
  <c r="C583" i="3"/>
  <c r="B1345" i="3"/>
  <c r="E1337" i="3"/>
  <c r="A1338" i="3"/>
  <c r="D290" i="3"/>
  <c r="C571" i="3"/>
  <c r="E679" i="3"/>
  <c r="D1254" i="3"/>
  <c r="A594" i="3"/>
  <c r="E434" i="3"/>
  <c r="F960" i="3"/>
  <c r="C473" i="3"/>
  <c r="A1153" i="3"/>
  <c r="E1290" i="3"/>
  <c r="C1078" i="3"/>
  <c r="F1027" i="3"/>
  <c r="C774" i="3"/>
  <c r="C495" i="3"/>
  <c r="A361" i="3"/>
  <c r="A631" i="3"/>
  <c r="C1158" i="3"/>
  <c r="B56" i="3"/>
  <c r="E1002" i="3"/>
  <c r="F851" i="3"/>
  <c r="C1274" i="3"/>
  <c r="B1007" i="3"/>
  <c r="E1001" i="3"/>
  <c r="D727" i="3"/>
  <c r="B569" i="3"/>
  <c r="E1157" i="3"/>
  <c r="A617" i="3"/>
  <c r="A526" i="3"/>
  <c r="F626" i="3"/>
  <c r="F460" i="3"/>
  <c r="D666" i="3"/>
  <c r="B1399" i="3"/>
  <c r="B859" i="3"/>
  <c r="C1330" i="3"/>
  <c r="F1372" i="3"/>
  <c r="B1178" i="3"/>
  <c r="E699" i="3"/>
  <c r="B680" i="3"/>
  <c r="F1098" i="3"/>
  <c r="A543" i="3"/>
  <c r="D845" i="3"/>
  <c r="F954" i="3"/>
  <c r="F983" i="3"/>
  <c r="A554" i="3"/>
  <c r="C773" i="3"/>
  <c r="B520" i="3"/>
  <c r="E860" i="3"/>
  <c r="E894" i="3"/>
  <c r="D1194" i="3"/>
  <c r="A167" i="3"/>
  <c r="A587" i="3"/>
  <c r="E1072" i="3"/>
  <c r="E1416" i="3"/>
  <c r="E888" i="3"/>
  <c r="A1368" i="3"/>
  <c r="F567" i="3"/>
  <c r="A778" i="3"/>
  <c r="C982" i="3"/>
  <c r="A1177" i="3"/>
  <c r="A1218" i="3"/>
  <c r="E41" i="3"/>
  <c r="B363" i="3"/>
  <c r="B952" i="3"/>
  <c r="F868" i="3"/>
  <c r="A1409" i="3"/>
  <c r="D294" i="3"/>
  <c r="A557" i="3"/>
  <c r="B469" i="3"/>
  <c r="B1241" i="3"/>
  <c r="F359" i="3"/>
  <c r="D1051" i="3"/>
  <c r="C455" i="3"/>
  <c r="F1140" i="3"/>
  <c r="F282" i="3"/>
  <c r="F718" i="3"/>
  <c r="B928" i="3"/>
  <c r="F1185" i="3"/>
  <c r="F857" i="3"/>
  <c r="F10" i="3"/>
  <c r="A1156" i="3"/>
  <c r="C850" i="3"/>
  <c r="F873" i="3"/>
  <c r="A826" i="3"/>
  <c r="D1417" i="3"/>
  <c r="E723" i="3"/>
  <c r="F260" i="3"/>
  <c r="E1293" i="3"/>
  <c r="B937" i="3"/>
  <c r="B1030" i="3"/>
  <c r="E1185" i="3"/>
  <c r="F1042" i="3"/>
  <c r="F1343" i="3"/>
  <c r="C575" i="3"/>
  <c r="B679" i="3"/>
  <c r="C608" i="3"/>
  <c r="C671" i="3"/>
  <c r="A935" i="3"/>
  <c r="F677" i="3"/>
  <c r="F953" i="3"/>
  <c r="B477" i="3"/>
  <c r="D849" i="3"/>
  <c r="B1320" i="3"/>
  <c r="D1275" i="3"/>
  <c r="C879" i="3"/>
  <c r="E1164" i="3"/>
  <c r="E666" i="3"/>
  <c r="D1113" i="3"/>
  <c r="C1068" i="3"/>
  <c r="B174" i="3"/>
  <c r="D300" i="3"/>
  <c r="F838" i="3"/>
  <c r="A1387" i="3"/>
  <c r="C159" i="3"/>
  <c r="B911" i="3"/>
  <c r="F265" i="3"/>
  <c r="B1053" i="3"/>
  <c r="C912" i="3"/>
  <c r="A68" i="3"/>
  <c r="B1358" i="3"/>
  <c r="B1246" i="3"/>
  <c r="D1174" i="3"/>
  <c r="F934" i="3"/>
  <c r="B1033" i="3"/>
  <c r="A439" i="3"/>
  <c r="A1174" i="3"/>
  <c r="B939" i="3"/>
  <c r="B1098" i="3"/>
  <c r="D448" i="3"/>
  <c r="D1196" i="3"/>
  <c r="A1165" i="3"/>
  <c r="D909" i="3"/>
  <c r="B1186" i="3"/>
  <c r="E494" i="3"/>
  <c r="F743" i="3"/>
  <c r="C1009" i="3"/>
  <c r="A522" i="3"/>
  <c r="A1104" i="3"/>
  <c r="B1341" i="3"/>
  <c r="A352" i="3"/>
  <c r="C653" i="3"/>
  <c r="C1263" i="3"/>
  <c r="D732" i="3"/>
  <c r="C624" i="3"/>
  <c r="A724" i="3"/>
  <c r="F1227" i="3"/>
  <c r="E345" i="3"/>
  <c r="A1098" i="3"/>
  <c r="A1172" i="3"/>
  <c r="B737" i="3"/>
  <c r="F1385" i="3"/>
  <c r="D990" i="3"/>
  <c r="B1425" i="3"/>
  <c r="F1025" i="3"/>
  <c r="A222" i="3"/>
  <c r="B1122" i="3"/>
  <c r="B324" i="3"/>
  <c r="A769" i="3"/>
  <c r="B262" i="3"/>
  <c r="A339" i="3"/>
  <c r="A891" i="3"/>
  <c r="B983" i="3"/>
  <c r="A416" i="3"/>
  <c r="B64" i="3"/>
  <c r="D96" i="3"/>
  <c r="C75" i="3"/>
  <c r="B596" i="3"/>
  <c r="E253" i="3"/>
  <c r="D779" i="3"/>
  <c r="D949" i="3"/>
  <c r="A246" i="3"/>
  <c r="C798" i="3"/>
  <c r="D218" i="3"/>
  <c r="A415" i="3"/>
  <c r="C654" i="3"/>
  <c r="D629" i="3"/>
  <c r="C366" i="3"/>
  <c r="F1248" i="3"/>
  <c r="B1379" i="3"/>
  <c r="C874" i="3"/>
  <c r="F1171" i="3"/>
  <c r="E1316" i="3"/>
  <c r="E1035" i="3"/>
  <c r="C466" i="3"/>
  <c r="C548" i="3"/>
  <c r="F1240" i="3"/>
  <c r="F506" i="3"/>
  <c r="F1212" i="3"/>
  <c r="F1210" i="3"/>
  <c r="C1066" i="3"/>
  <c r="A1007" i="3"/>
  <c r="F874" i="3"/>
  <c r="F1195" i="3"/>
  <c r="C439" i="3"/>
  <c r="D93" i="3"/>
  <c r="C701" i="3"/>
  <c r="F1223" i="3"/>
  <c r="D1302" i="3"/>
  <c r="C534" i="3"/>
  <c r="F1424" i="3"/>
  <c r="B412" i="3"/>
  <c r="D1138" i="3"/>
  <c r="B754" i="3"/>
  <c r="C796" i="3"/>
  <c r="C1236" i="3"/>
  <c r="E1266" i="3"/>
  <c r="F950" i="3"/>
  <c r="C804" i="3"/>
  <c r="C938" i="3"/>
  <c r="D1219" i="3"/>
  <c r="E242" i="3"/>
  <c r="C645" i="3"/>
  <c r="E875" i="3"/>
  <c r="E703" i="3"/>
  <c r="D1273" i="3"/>
  <c r="F749" i="3"/>
  <c r="D1117" i="3"/>
  <c r="F1423" i="3"/>
  <c r="C489" i="3"/>
  <c r="E658" i="3"/>
  <c r="D870" i="3"/>
  <c r="F1250" i="3"/>
  <c r="F628" i="3"/>
  <c r="E1021" i="3"/>
  <c r="E184" i="3"/>
  <c r="F510" i="3"/>
  <c r="E987" i="3"/>
  <c r="A322" i="3"/>
  <c r="F586" i="3"/>
  <c r="F299" i="3"/>
  <c r="C178" i="3"/>
  <c r="A409" i="3"/>
  <c r="F1232" i="3"/>
  <c r="F1413" i="3"/>
  <c r="B1340" i="3"/>
  <c r="A1140" i="3"/>
  <c r="B962" i="3"/>
  <c r="B269" i="3"/>
  <c r="C327" i="3"/>
  <c r="B154" i="3"/>
  <c r="E930" i="3"/>
  <c r="F576" i="3"/>
  <c r="C741" i="3"/>
  <c r="F385" i="3"/>
  <c r="A1216" i="3"/>
  <c r="D832" i="3"/>
  <c r="D1153" i="3"/>
  <c r="A1375" i="3"/>
  <c r="A981" i="3"/>
  <c r="D85" i="3"/>
  <c r="B789" i="3"/>
  <c r="F768" i="3"/>
  <c r="C1062" i="3"/>
  <c r="E1134" i="3"/>
  <c r="D729" i="3"/>
  <c r="C440" i="3"/>
  <c r="C402" i="3"/>
  <c r="B330" i="3"/>
  <c r="A1152" i="3"/>
  <c r="F709" i="3"/>
  <c r="C1117" i="3"/>
  <c r="B795" i="3"/>
  <c r="F1162" i="3"/>
  <c r="B622" i="3"/>
  <c r="C438" i="3"/>
  <c r="C1222" i="3"/>
  <c r="A690" i="3"/>
  <c r="C1169" i="3"/>
  <c r="F1078" i="3"/>
  <c r="B757" i="3"/>
  <c r="A610" i="3"/>
  <c r="E1196" i="3"/>
  <c r="F726" i="3"/>
  <c r="B1170" i="3"/>
  <c r="C107" i="3"/>
  <c r="B652" i="3"/>
  <c r="D1162" i="3"/>
  <c r="E828" i="3"/>
  <c r="B152" i="3"/>
  <c r="D1393" i="3"/>
  <c r="D878" i="3"/>
  <c r="C824" i="3"/>
  <c r="A426" i="3"/>
  <c r="A1308" i="3"/>
  <c r="A1291" i="3"/>
  <c r="B193" i="3"/>
  <c r="C790" i="3"/>
  <c r="A1215" i="3"/>
  <c r="A154" i="3"/>
  <c r="E665" i="3"/>
  <c r="D632" i="3"/>
  <c r="D109" i="3"/>
  <c r="F633" i="3"/>
  <c r="D172" i="3"/>
  <c r="B421" i="3"/>
  <c r="E890" i="3"/>
  <c r="F446" i="3"/>
  <c r="E1117" i="3"/>
  <c r="F1199" i="3"/>
  <c r="C747" i="3"/>
  <c r="C1366" i="3"/>
  <c r="F761" i="3"/>
  <c r="A772" i="3"/>
  <c r="B241" i="3"/>
  <c r="B471" i="3"/>
  <c r="E107" i="3"/>
  <c r="D1274" i="3"/>
  <c r="A72" i="3"/>
  <c r="A872" i="3"/>
  <c r="C486" i="3"/>
  <c r="A768" i="3"/>
  <c r="A1386" i="3"/>
  <c r="F275" i="3"/>
  <c r="E899" i="3"/>
  <c r="F601" i="3"/>
  <c r="B125" i="3"/>
  <c r="D869" i="3"/>
  <c r="F246" i="3"/>
  <c r="F903" i="3"/>
  <c r="D19" i="3"/>
  <c r="B557" i="3"/>
  <c r="E903" i="3"/>
  <c r="E826" i="3"/>
  <c r="B1342" i="3"/>
  <c r="F763" i="3"/>
  <c r="D587" i="3"/>
  <c r="F1409" i="3"/>
  <c r="B1370" i="3"/>
  <c r="E1365" i="3"/>
  <c r="B774" i="3"/>
  <c r="A1408" i="3"/>
  <c r="F1168" i="3"/>
  <c r="C1292" i="3"/>
  <c r="F1197" i="3"/>
  <c r="D773" i="3"/>
  <c r="F343" i="3"/>
  <c r="C305" i="3"/>
  <c r="D149" i="3"/>
  <c r="B1151" i="3"/>
  <c r="D354" i="3"/>
  <c r="A630" i="3"/>
  <c r="F549" i="3"/>
  <c r="F1320" i="3"/>
  <c r="D319" i="3"/>
  <c r="C620" i="3"/>
  <c r="E1383" i="3"/>
  <c r="E31" i="3"/>
  <c r="D304" i="3"/>
  <c r="C1270" i="3"/>
  <c r="C635" i="3"/>
  <c r="B1312" i="3"/>
  <c r="D533" i="3"/>
  <c r="B901" i="3"/>
  <c r="B1416" i="3"/>
  <c r="E1223" i="3"/>
  <c r="F1293" i="3"/>
  <c r="A163" i="3"/>
  <c r="D181" i="3"/>
  <c r="E692" i="3"/>
  <c r="B189" i="3"/>
  <c r="F730" i="3"/>
  <c r="A7" i="3"/>
  <c r="C550" i="3"/>
  <c r="E24" i="3"/>
  <c r="C896" i="3"/>
  <c r="B590" i="3"/>
  <c r="A717" i="3"/>
  <c r="A452" i="3"/>
  <c r="D1007" i="3"/>
  <c r="D1011" i="3"/>
  <c r="F651" i="3"/>
  <c r="B317" i="3"/>
  <c r="C630" i="3"/>
  <c r="F839" i="3"/>
  <c r="C1298" i="3"/>
  <c r="C50" i="3"/>
  <c r="E842" i="3"/>
  <c r="B1043" i="3"/>
  <c r="C229" i="3"/>
  <c r="C43" i="3"/>
  <c r="D642" i="3"/>
  <c r="F291" i="3"/>
  <c r="F1416" i="3"/>
  <c r="E222" i="3"/>
  <c r="E1375" i="3"/>
  <c r="F732" i="3"/>
  <c r="B951" i="3"/>
  <c r="A1148" i="3"/>
  <c r="D1418" i="3"/>
  <c r="B1137" i="3"/>
  <c r="A633" i="3"/>
  <c r="C595" i="3"/>
  <c r="E1076" i="3"/>
  <c r="E834" i="3"/>
  <c r="C322" i="3"/>
  <c r="E491" i="3"/>
  <c r="B1051" i="3"/>
  <c r="E954" i="3"/>
  <c r="F450" i="3"/>
  <c r="C483" i="3"/>
  <c r="C242" i="3"/>
  <c r="D233" i="3"/>
  <c r="B626" i="3"/>
  <c r="D9" i="3"/>
  <c r="C198" i="3"/>
  <c r="E485" i="3"/>
  <c r="A1061" i="3"/>
  <c r="C132" i="3"/>
  <c r="C201" i="3"/>
  <c r="E852" i="3"/>
  <c r="D55" i="3"/>
  <c r="B192" i="3"/>
  <c r="D37" i="3"/>
  <c r="C228" i="3"/>
  <c r="E267" i="3"/>
  <c r="F295" i="3"/>
  <c r="D1089" i="3"/>
  <c r="B899" i="3"/>
  <c r="B191" i="3"/>
  <c r="C909" i="3"/>
  <c r="B588" i="3"/>
  <c r="F1005" i="3"/>
  <c r="E562" i="3"/>
  <c r="D731" i="3"/>
  <c r="A603" i="3"/>
  <c r="B1003" i="3"/>
  <c r="E188" i="3"/>
  <c r="C96" i="3"/>
  <c r="B629" i="3"/>
  <c r="E549" i="3"/>
  <c r="F663" i="3"/>
  <c r="F862" i="3"/>
  <c r="B1169" i="3"/>
  <c r="A794" i="3"/>
  <c r="B612" i="3"/>
  <c r="C1376" i="3"/>
  <c r="C511" i="3"/>
  <c r="A774" i="3"/>
  <c r="E451" i="3"/>
  <c r="A400" i="3"/>
  <c r="D349" i="3"/>
  <c r="F1128" i="3"/>
  <c r="D895" i="3"/>
  <c r="D891" i="3"/>
  <c r="E1071" i="3"/>
  <c r="A1144" i="3"/>
  <c r="D11" i="3"/>
  <c r="B579" i="3"/>
  <c r="E1361" i="3"/>
  <c r="F1316" i="3"/>
  <c r="D1295" i="3"/>
  <c r="A973" i="3"/>
  <c r="F452" i="3"/>
  <c r="A436" i="3"/>
  <c r="B138" i="3"/>
  <c r="E263" i="3"/>
  <c r="C686" i="3"/>
  <c r="D302" i="3"/>
  <c r="D451" i="3"/>
  <c r="A528" i="3"/>
  <c r="F1415" i="3"/>
  <c r="E1000" i="3"/>
  <c r="A661" i="3"/>
  <c r="A82" i="3"/>
  <c r="D613" i="3"/>
  <c r="A1022" i="3"/>
  <c r="E846" i="3"/>
  <c r="A577" i="3"/>
  <c r="C116" i="3"/>
  <c r="A601" i="3"/>
  <c r="C318" i="3"/>
  <c r="C392" i="3"/>
  <c r="E328" i="3"/>
  <c r="B19" i="3"/>
  <c r="D1263" i="3"/>
  <c r="F790" i="3"/>
  <c r="D1387" i="3"/>
  <c r="E484" i="3"/>
  <c r="E804" i="3"/>
  <c r="C1416" i="3"/>
  <c r="D676" i="3"/>
  <c r="C581" i="3"/>
  <c r="F166" i="3"/>
  <c r="E1098" i="3"/>
  <c r="A518" i="3"/>
  <c r="A147" i="3"/>
  <c r="B1017" i="3"/>
  <c r="F1013" i="3"/>
  <c r="A213" i="3"/>
  <c r="A795" i="3"/>
  <c r="B1282" i="3"/>
  <c r="C955" i="3"/>
  <c r="F821" i="3"/>
  <c r="E868" i="3"/>
  <c r="D318" i="3"/>
  <c r="A451" i="3"/>
  <c r="E591" i="3"/>
  <c r="F449" i="3"/>
  <c r="C368" i="3"/>
  <c r="E772" i="3"/>
  <c r="A1069" i="3"/>
  <c r="D307" i="3"/>
  <c r="C818" i="3"/>
  <c r="A206" i="3"/>
  <c r="A1224" i="3"/>
  <c r="A785" i="3"/>
  <c r="E1245" i="3"/>
  <c r="C611" i="3"/>
  <c r="D663" i="3"/>
  <c r="D569" i="3"/>
  <c r="C929" i="3"/>
  <c r="E1332" i="3"/>
  <c r="F94" i="3"/>
  <c r="C524" i="3"/>
  <c r="D47" i="3"/>
  <c r="C817" i="3"/>
  <c r="D976" i="3"/>
  <c r="C1168" i="3"/>
  <c r="E717" i="3"/>
  <c r="D531" i="3"/>
  <c r="B769" i="3"/>
  <c r="D672" i="3"/>
  <c r="C443" i="3"/>
  <c r="A178" i="3"/>
  <c r="B1038" i="3"/>
  <c r="C825" i="3"/>
  <c r="A994" i="3"/>
  <c r="A1139" i="3"/>
  <c r="E1324" i="3"/>
  <c r="B561" i="3"/>
  <c r="A740" i="3"/>
  <c r="A250" i="3"/>
  <c r="B1201" i="3"/>
  <c r="B1400" i="3"/>
  <c r="B329" i="3"/>
  <c r="F963" i="3"/>
  <c r="C1318" i="3"/>
  <c r="E727" i="3"/>
  <c r="E1259" i="3"/>
  <c r="F875" i="3"/>
  <c r="E1221" i="3"/>
  <c r="C113" i="3"/>
  <c r="F669" i="3"/>
  <c r="A1000" i="3"/>
  <c r="C901" i="3"/>
  <c r="D700" i="3"/>
  <c r="C168" i="3"/>
  <c r="A1168" i="3"/>
  <c r="A854" i="3"/>
  <c r="C300" i="3"/>
  <c r="E144" i="3"/>
  <c r="D1277" i="3"/>
  <c r="B465" i="3"/>
  <c r="F1106" i="3"/>
  <c r="B268" i="3"/>
  <c r="E617" i="3"/>
  <c r="C1008" i="3"/>
  <c r="B1396" i="3"/>
  <c r="E439" i="3"/>
  <c r="C1147" i="3"/>
  <c r="F723" i="3"/>
  <c r="D960" i="3"/>
  <c r="C471" i="3"/>
  <c r="E1047" i="3"/>
  <c r="C908" i="3"/>
  <c r="B287" i="3"/>
  <c r="A1044" i="3"/>
  <c r="B148" i="3"/>
  <c r="A737" i="3"/>
  <c r="E1424" i="3"/>
  <c r="D1230" i="3"/>
  <c r="F309" i="3"/>
  <c r="A1365" i="3"/>
  <c r="F451" i="3"/>
  <c r="F365" i="3"/>
  <c r="E386" i="3"/>
  <c r="E349" i="3"/>
  <c r="A357" i="3"/>
  <c r="B885" i="3"/>
  <c r="A812" i="3"/>
  <c r="E757" i="3"/>
  <c r="F551" i="3"/>
  <c r="D473" i="3"/>
  <c r="C278" i="3"/>
  <c r="D167" i="3"/>
  <c r="E1281" i="3"/>
  <c r="D490" i="3"/>
  <c r="E942" i="3"/>
  <c r="A234" i="3"/>
  <c r="E77" i="3"/>
  <c r="F202" i="3"/>
  <c r="B427" i="3"/>
  <c r="E332" i="3"/>
  <c r="D975" i="3"/>
  <c r="E848" i="3"/>
  <c r="A525" i="3"/>
  <c r="F1281" i="3"/>
  <c r="F1139" i="3"/>
  <c r="F736" i="3"/>
  <c r="E735" i="3"/>
  <c r="F162" i="3"/>
  <c r="D127" i="3"/>
  <c r="B1047" i="3"/>
  <c r="D350" i="3"/>
  <c r="A1055" i="3"/>
  <c r="F546" i="3"/>
  <c r="E862" i="3"/>
  <c r="F679" i="3"/>
  <c r="C888" i="3"/>
  <c r="F665" i="3"/>
  <c r="D1378" i="3"/>
  <c r="A1315" i="3"/>
  <c r="F814" i="3"/>
  <c r="D715" i="3"/>
  <c r="B467" i="3"/>
  <c r="B380" i="3"/>
  <c r="F1169" i="3"/>
  <c r="F991" i="3"/>
  <c r="C779" i="3"/>
  <c r="D699" i="3"/>
  <c r="D153" i="3"/>
  <c r="D1372" i="3"/>
  <c r="E653" i="3"/>
  <c r="B166" i="3"/>
  <c r="C1067" i="3"/>
  <c r="D285" i="3"/>
  <c r="A1081" i="3"/>
  <c r="B1135" i="3"/>
  <c r="F1270" i="3"/>
  <c r="A1250" i="3"/>
  <c r="E1012" i="3"/>
  <c r="E962" i="3"/>
  <c r="F936" i="3"/>
  <c r="C260" i="3"/>
  <c r="F846" i="3"/>
  <c r="F820" i="3"/>
  <c r="C659" i="3"/>
  <c r="F290" i="3"/>
  <c r="A255" i="3"/>
  <c r="E1079" i="3"/>
  <c r="D1072" i="3"/>
  <c r="E1321" i="3"/>
  <c r="B515" i="3"/>
  <c r="A759" i="3"/>
  <c r="A496" i="3"/>
  <c r="E1405" i="3"/>
  <c r="E403" i="3"/>
  <c r="D71" i="3"/>
  <c r="D900" i="3"/>
  <c r="D847" i="3"/>
  <c r="C313" i="3"/>
  <c r="C1189" i="3"/>
  <c r="D609" i="3"/>
  <c r="F400" i="3"/>
  <c r="D771" i="3"/>
  <c r="E847" i="3"/>
  <c r="B641" i="3"/>
  <c r="A648" i="3"/>
  <c r="D1242" i="3"/>
  <c r="B1414" i="3"/>
  <c r="F597" i="3"/>
  <c r="C470" i="3"/>
  <c r="D874" i="3"/>
  <c r="C565" i="3"/>
  <c r="E840" i="3"/>
  <c r="B571" i="3"/>
  <c r="C707" i="3"/>
  <c r="F1405" i="3"/>
  <c r="F1295" i="3"/>
  <c r="D667" i="3"/>
  <c r="D468" i="3"/>
  <c r="C555" i="3"/>
  <c r="D544" i="3"/>
  <c r="B169" i="3"/>
  <c r="F1131" i="3"/>
  <c r="F979" i="3"/>
  <c r="A1396" i="3"/>
  <c r="A402" i="3"/>
  <c r="D705" i="3"/>
  <c r="E1161" i="3"/>
  <c r="A834" i="3"/>
  <c r="A1122" i="3"/>
  <c r="A268" i="3"/>
  <c r="A743" i="3"/>
  <c r="E361" i="3"/>
  <c r="A764" i="3"/>
  <c r="F1310" i="3"/>
  <c r="E305" i="3"/>
  <c r="B1374" i="3"/>
  <c r="E561" i="3"/>
  <c r="D743" i="3"/>
  <c r="F619" i="3"/>
  <c r="E527" i="3"/>
  <c r="B46" i="3"/>
  <c r="D1241" i="3"/>
  <c r="F1308" i="3"/>
  <c r="C830" i="3"/>
  <c r="A1231" i="3"/>
  <c r="D582" i="3"/>
  <c r="F320" i="3"/>
  <c r="C789" i="3"/>
  <c r="F589" i="3"/>
  <c r="E998" i="3"/>
  <c r="A1109" i="3"/>
  <c r="F910" i="3"/>
  <c r="F607" i="3"/>
  <c r="F780" i="3"/>
  <c r="C979" i="3"/>
  <c r="A782" i="3"/>
  <c r="B838" i="3"/>
  <c r="C705" i="3"/>
  <c r="D1042" i="3"/>
  <c r="A1229" i="3"/>
  <c r="D585" i="3"/>
  <c r="C784" i="3"/>
  <c r="A225" i="3"/>
  <c r="C372" i="3"/>
  <c r="F608" i="3"/>
  <c r="B539" i="3"/>
  <c r="B1179" i="3"/>
  <c r="D53" i="3"/>
  <c r="C1106" i="3"/>
  <c r="A447" i="3"/>
  <c r="F479" i="3"/>
  <c r="D1231" i="3"/>
  <c r="D186" i="3"/>
  <c r="F522" i="3"/>
  <c r="A990" i="3"/>
  <c r="E830" i="3"/>
  <c r="C277" i="3"/>
  <c r="E1016" i="3"/>
  <c r="E1084" i="3"/>
  <c r="E773" i="3"/>
  <c r="C441" i="3"/>
  <c r="A811" i="3"/>
  <c r="D1199" i="3"/>
  <c r="F1011" i="3"/>
  <c r="F812" i="3"/>
  <c r="C881" i="3"/>
  <c r="B842" i="3"/>
  <c r="A586" i="3"/>
  <c r="B394" i="3"/>
  <c r="A33" i="3"/>
  <c r="E1313" i="3"/>
  <c r="F349" i="3"/>
  <c r="F670" i="3"/>
  <c r="D336" i="3"/>
  <c r="F1390" i="3"/>
  <c r="C925" i="3"/>
  <c r="F533" i="3"/>
  <c r="C356" i="3"/>
  <c r="D653" i="3"/>
  <c r="B1142" i="3"/>
  <c r="B1100" i="3"/>
  <c r="C30" i="3"/>
  <c r="E391" i="3"/>
  <c r="B144" i="3"/>
  <c r="D1065" i="3"/>
  <c r="E190" i="3"/>
  <c r="A328" i="3"/>
  <c r="C1237" i="3"/>
  <c r="E436" i="3"/>
  <c r="A232" i="3"/>
  <c r="E936" i="3"/>
  <c r="D1004" i="3"/>
  <c r="D111" i="3"/>
  <c r="D200" i="3"/>
  <c r="E475" i="3"/>
  <c r="B705" i="3"/>
  <c r="A90" i="3"/>
  <c r="A233" i="3"/>
  <c r="E90" i="3"/>
  <c r="F55" i="3"/>
  <c r="A1301" i="3"/>
  <c r="B713" i="3"/>
  <c r="B248" i="3"/>
  <c r="F213" i="3"/>
  <c r="A898" i="3"/>
  <c r="C665" i="3"/>
  <c r="D64" i="3"/>
  <c r="F226" i="3"/>
  <c r="F618" i="3"/>
  <c r="F316" i="3"/>
  <c r="C1398" i="3"/>
  <c r="C49" i="3"/>
  <c r="F119" i="3"/>
  <c r="C239" i="3"/>
  <c r="E362" i="3"/>
  <c r="C673" i="3"/>
  <c r="F519" i="3"/>
  <c r="E364" i="3"/>
  <c r="C1077" i="3"/>
  <c r="F437" i="3"/>
  <c r="C1373" i="3"/>
  <c r="C963" i="3"/>
  <c r="C89" i="3"/>
  <c r="D475" i="3"/>
  <c r="F1354" i="3"/>
  <c r="E693" i="3"/>
  <c r="A469" i="3"/>
  <c r="C919" i="3"/>
  <c r="B231" i="3"/>
  <c r="E1418" i="3"/>
  <c r="C785" i="3"/>
  <c r="B1363" i="3"/>
  <c r="E523" i="3"/>
  <c r="C1375" i="3"/>
  <c r="D744" i="3"/>
  <c r="E1271" i="3"/>
  <c r="B584" i="3"/>
  <c r="E453" i="3"/>
  <c r="A217" i="3"/>
  <c r="B662" i="3"/>
  <c r="E1118" i="3"/>
  <c r="B954" i="3"/>
  <c r="D313" i="3"/>
  <c r="D701" i="3"/>
  <c r="E30" i="3"/>
  <c r="C795" i="3"/>
  <c r="F666" i="3"/>
  <c r="E1010" i="3"/>
  <c r="F1086" i="3"/>
  <c r="C1200" i="3"/>
  <c r="B844" i="3"/>
  <c r="C1093" i="3"/>
  <c r="A1097" i="3"/>
  <c r="A1298" i="3"/>
  <c r="E1222" i="3"/>
  <c r="A1334" i="3"/>
  <c r="B1410" i="3"/>
  <c r="B693" i="3"/>
  <c r="D746" i="3"/>
  <c r="D492" i="3"/>
  <c r="F925" i="3"/>
  <c r="F1186" i="3"/>
  <c r="D991" i="3"/>
  <c r="E633" i="3"/>
  <c r="E363" i="3"/>
  <c r="C1344" i="3"/>
  <c r="A1163" i="3"/>
  <c r="B256" i="3"/>
  <c r="C284" i="3"/>
  <c r="F53" i="3"/>
  <c r="B37" i="3"/>
  <c r="D734" i="3"/>
  <c r="F254" i="3"/>
  <c r="B559" i="3"/>
  <c r="E1188" i="3"/>
  <c r="B1291" i="3"/>
  <c r="C1223" i="3"/>
  <c r="E176" i="3"/>
  <c r="A340" i="3"/>
  <c r="B456" i="3"/>
  <c r="D726" i="3"/>
  <c r="D344" i="3"/>
  <c r="B745" i="3"/>
  <c r="D1154" i="3"/>
  <c r="E1046" i="3"/>
  <c r="D527" i="3"/>
  <c r="E333" i="3"/>
  <c r="E958" i="3"/>
  <c r="E833" i="3"/>
  <c r="D688" i="3"/>
  <c r="A555" i="3"/>
  <c r="F996" i="3"/>
  <c r="C1141" i="3"/>
  <c r="A636" i="3"/>
  <c r="F1109" i="3"/>
  <c r="E695" i="3"/>
  <c r="A667" i="3"/>
  <c r="C1271" i="3"/>
  <c r="E701" i="3"/>
  <c r="A41" i="3"/>
  <c r="E241" i="3"/>
  <c r="E634" i="3"/>
  <c r="D1325" i="3"/>
  <c r="F965" i="3"/>
  <c r="B850" i="3"/>
  <c r="E1023" i="3"/>
  <c r="E1425" i="3"/>
  <c r="F1149" i="3"/>
  <c r="F739" i="3"/>
  <c r="D1134" i="3"/>
  <c r="D557" i="3"/>
  <c r="F798" i="3"/>
  <c r="F962" i="3"/>
  <c r="F289" i="3"/>
  <c r="E822" i="3"/>
  <c r="D1425" i="3"/>
  <c r="C546" i="3"/>
  <c r="C815" i="3"/>
  <c r="F897" i="3"/>
  <c r="D1322" i="3"/>
  <c r="C936" i="3"/>
  <c r="B1149" i="3"/>
  <c r="B1218" i="3"/>
  <c r="E1367" i="3"/>
  <c r="D1163" i="3"/>
  <c r="E1075" i="3"/>
  <c r="F1203" i="3"/>
  <c r="B640" i="3"/>
  <c r="F720" i="3"/>
  <c r="C526" i="3"/>
  <c r="B681" i="3"/>
  <c r="A852" i="3"/>
  <c r="F491" i="3"/>
  <c r="E1163" i="3"/>
  <c r="E941" i="3"/>
  <c r="D1130" i="3"/>
  <c r="F186" i="3"/>
  <c r="E986" i="3"/>
  <c r="B1245" i="3"/>
  <c r="B1140" i="3"/>
  <c r="D1210" i="3"/>
  <c r="B418" i="3"/>
  <c r="F1001" i="3"/>
  <c r="B347" i="3"/>
  <c r="E794" i="3"/>
  <c r="E1382" i="3"/>
  <c r="F106" i="3"/>
  <c r="C504" i="3"/>
  <c r="E948" i="3"/>
  <c r="C1053" i="3"/>
  <c r="A1237" i="3"/>
  <c r="E649" i="3"/>
  <c r="A574" i="3"/>
  <c r="B1397" i="3"/>
  <c r="A1205" i="3"/>
  <c r="B642" i="3"/>
  <c r="C567" i="3"/>
  <c r="A893" i="3"/>
  <c r="E1289" i="3"/>
  <c r="B1403" i="3"/>
  <c r="D921" i="3"/>
  <c r="C1212" i="3"/>
  <c r="A269" i="3"/>
  <c r="E785" i="3"/>
  <c r="B832" i="3"/>
  <c r="C692" i="3"/>
  <c r="C261" i="3"/>
  <c r="B668" i="3"/>
  <c r="C475" i="3"/>
  <c r="A1105" i="3"/>
  <c r="B1036" i="3"/>
  <c r="E299" i="3"/>
  <c r="F423" i="3"/>
  <c r="B1286" i="3"/>
  <c r="B113" i="3"/>
  <c r="A1195" i="3"/>
  <c r="C448" i="3"/>
  <c r="F509" i="3"/>
  <c r="F187" i="3"/>
  <c r="F598" i="3"/>
  <c r="E460" i="3"/>
  <c r="E805" i="3"/>
  <c r="F1067" i="3"/>
  <c r="C1279" i="3"/>
  <c r="C1105" i="3"/>
  <c r="F1124" i="3"/>
  <c r="F945" i="3"/>
  <c r="A262" i="3"/>
  <c r="A1090" i="3"/>
  <c r="E1410" i="3"/>
  <c r="B117" i="3"/>
  <c r="A1223" i="3"/>
  <c r="D403" i="3"/>
  <c r="D661" i="3"/>
  <c r="F185" i="3"/>
  <c r="F528" i="3"/>
  <c r="E926" i="3"/>
  <c r="C1044" i="3"/>
  <c r="B1049" i="3"/>
  <c r="C554" i="3"/>
  <c r="C629" i="3"/>
  <c r="A261" i="3"/>
  <c r="C66" i="3"/>
  <c r="F1234" i="3"/>
  <c r="F268" i="3"/>
  <c r="E509" i="3"/>
  <c r="E517" i="3"/>
  <c r="D1190" i="3"/>
  <c r="F955" i="3"/>
  <c r="C1278" i="3"/>
  <c r="F1337" i="3"/>
  <c r="F969" i="3"/>
  <c r="A462" i="3"/>
  <c r="B923" i="3"/>
  <c r="F1274" i="3"/>
  <c r="F705" i="3"/>
  <c r="D220" i="3"/>
  <c r="F692" i="3"/>
  <c r="B325" i="3"/>
  <c r="A309" i="3"/>
  <c r="F228" i="3"/>
  <c r="B131" i="3"/>
  <c r="D647" i="3"/>
  <c r="E654" i="3"/>
  <c r="A229" i="3"/>
  <c r="C541" i="3"/>
  <c r="D295" i="3"/>
  <c r="F492" i="3"/>
  <c r="A1060" i="3"/>
  <c r="D905" i="3"/>
  <c r="E359" i="3"/>
  <c r="F440" i="3"/>
  <c r="C453" i="3"/>
  <c r="A372" i="3"/>
  <c r="B639" i="3"/>
  <c r="F137" i="3"/>
  <c r="B129" i="3"/>
  <c r="F415" i="3"/>
  <c r="B948" i="3"/>
  <c r="F698" i="3"/>
  <c r="A553" i="3"/>
  <c r="C143" i="3"/>
  <c r="D674" i="3"/>
  <c r="E520" i="3"/>
  <c r="B1367" i="3"/>
  <c r="B956" i="3"/>
  <c r="D781" i="3"/>
  <c r="F231" i="3"/>
  <c r="B257" i="3"/>
  <c r="D620" i="3"/>
  <c r="D837" i="3"/>
  <c r="C1220" i="3"/>
  <c r="B940" i="3"/>
  <c r="B252" i="3"/>
  <c r="E1409" i="3"/>
  <c r="B1262" i="3"/>
  <c r="A1198" i="3"/>
  <c r="C1103" i="3"/>
  <c r="B1294" i="3"/>
  <c r="C523" i="3"/>
  <c r="B371" i="3"/>
  <c r="D196" i="3"/>
  <c r="C742" i="3"/>
  <c r="E551" i="3"/>
  <c r="F344" i="3"/>
  <c r="A547" i="3"/>
  <c r="B1407" i="3"/>
  <c r="D1381" i="3"/>
  <c r="C1391" i="3"/>
  <c r="B126" i="3"/>
  <c r="B536" i="3"/>
  <c r="B483" i="3"/>
  <c r="C397" i="3"/>
  <c r="C677" i="3"/>
  <c r="B1296" i="3"/>
  <c r="B649" i="3"/>
  <c r="B326" i="3"/>
  <c r="F566" i="3"/>
  <c r="A99" i="3"/>
  <c r="E206" i="3"/>
  <c r="C916" i="3"/>
  <c r="B151" i="3"/>
  <c r="B351" i="3"/>
  <c r="D774" i="3"/>
  <c r="B258" i="3"/>
  <c r="B273" i="3"/>
  <c r="D777" i="3"/>
  <c r="A94" i="3"/>
  <c r="D722" i="3"/>
  <c r="D826" i="3"/>
  <c r="F682" i="3"/>
  <c r="C3" i="3"/>
  <c r="C814" i="3"/>
  <c r="C510" i="3"/>
  <c r="D723" i="3"/>
  <c r="A546" i="3"/>
  <c r="B8" i="3"/>
  <c r="F541" i="3"/>
  <c r="D270" i="3"/>
  <c r="E87" i="3"/>
  <c r="F1188" i="3"/>
  <c r="D1253" i="3"/>
  <c r="D106" i="3"/>
  <c r="F245" i="3"/>
  <c r="B1087" i="3"/>
  <c r="A398" i="3"/>
  <c r="D608" i="3"/>
  <c r="A337" i="3"/>
  <c r="A997" i="3"/>
  <c r="F215" i="3"/>
  <c r="D494" i="3"/>
  <c r="C144" i="3"/>
  <c r="C152" i="3"/>
  <c r="F458" i="3"/>
  <c r="D526" i="3"/>
  <c r="B1418" i="3"/>
  <c r="B1323" i="3"/>
  <c r="A1203" i="3"/>
  <c r="E733" i="3"/>
  <c r="C983" i="3"/>
  <c r="E208" i="3"/>
  <c r="F1318" i="3"/>
  <c r="F710" i="3"/>
  <c r="D944" i="3"/>
  <c r="B1138" i="3"/>
  <c r="C146" i="3"/>
  <c r="A1076" i="3"/>
  <c r="B383" i="3"/>
  <c r="E3" i="3"/>
  <c r="D718" i="3"/>
  <c r="A1005" i="3"/>
  <c r="B13" i="3"/>
  <c r="E1160" i="3"/>
  <c r="B972" i="3"/>
  <c r="E685" i="3"/>
  <c r="C811" i="3"/>
  <c r="D442" i="3"/>
  <c r="C51" i="3"/>
  <c r="C667" i="3"/>
  <c r="D322" i="3"/>
  <c r="C47" i="3"/>
  <c r="B307" i="3"/>
  <c r="B852" i="3"/>
  <c r="B401" i="3"/>
  <c r="F1353" i="3"/>
  <c r="C586" i="3"/>
  <c r="E1241" i="3"/>
  <c r="F783" i="3"/>
  <c r="B1380" i="3"/>
  <c r="A151" i="3"/>
  <c r="F181" i="3"/>
  <c r="A671" i="3"/>
  <c r="E739" i="3"/>
  <c r="B83" i="3"/>
  <c r="F864" i="3"/>
  <c r="B933" i="3"/>
  <c r="D463" i="3"/>
  <c r="A235" i="3"/>
  <c r="A465" i="3"/>
  <c r="F306" i="3"/>
  <c r="B1019" i="3"/>
  <c r="F346" i="3"/>
  <c r="D566" i="3"/>
  <c r="F1077" i="3"/>
  <c r="C1356" i="3"/>
  <c r="B683" i="3"/>
  <c r="D501" i="3"/>
  <c r="B1090" i="3"/>
  <c r="D184" i="3"/>
  <c r="B1115" i="3"/>
  <c r="D330" i="3"/>
  <c r="C880" i="3"/>
  <c r="C241" i="3"/>
  <c r="E1265" i="3"/>
  <c r="C780" i="3"/>
  <c r="E762" i="3"/>
  <c r="E1249" i="3"/>
  <c r="C731" i="3"/>
  <c r="E326" i="3"/>
  <c r="F713" i="3"/>
  <c r="A244" i="3"/>
  <c r="D1029" i="3"/>
  <c r="C821" i="3"/>
  <c r="B1193" i="3"/>
  <c r="F375" i="3"/>
  <c r="C185" i="3"/>
  <c r="D90" i="3"/>
  <c r="E230" i="3"/>
  <c r="F942" i="3"/>
  <c r="B165" i="3"/>
  <c r="F693" i="3"/>
  <c r="C1163" i="3"/>
  <c r="E275" i="3"/>
  <c r="F161" i="3"/>
  <c r="A39" i="3"/>
  <c r="B788" i="3"/>
  <c r="B811" i="3"/>
  <c r="B454" i="3"/>
  <c r="F252" i="3"/>
  <c r="E974" i="3"/>
  <c r="E70" i="3"/>
  <c r="A358" i="3"/>
  <c r="F898" i="3"/>
  <c r="E1296" i="3"/>
  <c r="B628" i="3"/>
  <c r="F696" i="3"/>
  <c r="C1118" i="3"/>
  <c r="A1284" i="3"/>
  <c r="A683" i="3"/>
  <c r="B364" i="3"/>
  <c r="C429" i="3"/>
  <c r="D450" i="3"/>
  <c r="B635" i="3"/>
  <c r="A988" i="3"/>
  <c r="A366" i="3"/>
  <c r="B746" i="3"/>
  <c r="E173" i="3"/>
  <c r="C1275" i="3"/>
  <c r="F808" i="3"/>
  <c r="A731" i="3"/>
  <c r="C131" i="3"/>
  <c r="F688" i="3"/>
  <c r="F1302" i="3"/>
  <c r="B1391" i="3"/>
  <c r="A1041" i="3"/>
  <c r="F483" i="3"/>
  <c r="F235" i="3"/>
  <c r="D8" i="3"/>
  <c r="B1042" i="3"/>
  <c r="E760" i="3"/>
  <c r="C969" i="3"/>
  <c r="D887" i="3"/>
  <c r="F58" i="3"/>
  <c r="F514" i="3"/>
  <c r="B791" i="3"/>
  <c r="E1004" i="3"/>
  <c r="C136" i="3"/>
  <c r="C1132" i="3"/>
  <c r="D60" i="3"/>
  <c r="F724" i="3"/>
  <c r="F110" i="3"/>
  <c r="D1149" i="3"/>
  <c r="C169" i="3"/>
  <c r="F354" i="3"/>
  <c r="F527" i="3"/>
  <c r="B97" i="3"/>
  <c r="F433" i="3"/>
  <c r="B597" i="3"/>
  <c r="D565" i="3"/>
  <c r="A831" i="3"/>
  <c r="F1224" i="3"/>
  <c r="D191" i="3"/>
  <c r="F195" i="3"/>
  <c r="C7" i="3"/>
  <c r="D1026" i="3"/>
  <c r="A373" i="3"/>
  <c r="F327" i="3"/>
  <c r="B21" i="3"/>
  <c r="C1080" i="3"/>
  <c r="B556" i="3"/>
  <c r="C479" i="3"/>
  <c r="C164" i="3"/>
  <c r="E507" i="3"/>
  <c r="E588" i="3"/>
  <c r="D1037" i="3"/>
  <c r="E624" i="3"/>
  <c r="B853" i="3"/>
  <c r="F482" i="3"/>
  <c r="F636" i="3"/>
  <c r="D614" i="3"/>
  <c r="F1184" i="3"/>
  <c r="A130" i="3"/>
  <c r="B645" i="3"/>
  <c r="E303" i="3"/>
  <c r="A172" i="3"/>
  <c r="C238" i="3"/>
  <c r="A651" i="3"/>
  <c r="A332" i="3"/>
  <c r="A620" i="3"/>
  <c r="C408" i="3"/>
  <c r="B978" i="3"/>
  <c r="F1029" i="3"/>
  <c r="D1142" i="3"/>
  <c r="B938" i="3"/>
  <c r="A457" i="3"/>
  <c r="B632" i="3"/>
  <c r="A530" i="3"/>
  <c r="D81" i="3"/>
  <c r="D941" i="3"/>
  <c r="B804" i="3"/>
  <c r="D328" i="3"/>
  <c r="D665" i="3"/>
  <c r="E776" i="3"/>
  <c r="F947" i="3"/>
  <c r="C552" i="3"/>
  <c r="E511" i="3"/>
  <c r="B222" i="3"/>
  <c r="F374" i="3"/>
  <c r="B342" i="3"/>
  <c r="B188" i="3"/>
  <c r="B636" i="3"/>
  <c r="A472" i="3"/>
  <c r="F424" i="3"/>
  <c r="B1124" i="3"/>
  <c r="C493" i="3"/>
  <c r="C73" i="3"/>
  <c r="B274" i="3"/>
  <c r="F518" i="3"/>
  <c r="D571" i="3"/>
  <c r="A733" i="3"/>
  <c r="F190" i="3"/>
  <c r="E270" i="3"/>
  <c r="E406" i="3"/>
  <c r="E1268" i="3"/>
  <c r="C421" i="3"/>
  <c r="D83" i="3"/>
  <c r="E657" i="3"/>
  <c r="D617" i="3"/>
  <c r="D204" i="3"/>
  <c r="D577" i="3"/>
  <c r="B522" i="3"/>
  <c r="D43" i="3"/>
  <c r="F877" i="3"/>
  <c r="E4" i="3"/>
  <c r="F526" i="3"/>
  <c r="B335" i="3"/>
  <c r="D1116" i="3"/>
  <c r="D232" i="3"/>
  <c r="D431" i="3"/>
  <c r="D241" i="3"/>
  <c r="B756" i="3"/>
  <c r="C62" i="3"/>
  <c r="A475" i="3"/>
  <c r="A9" i="3"/>
  <c r="E574" i="3"/>
  <c r="A55" i="3"/>
  <c r="C98" i="3"/>
  <c r="D1046" i="3"/>
  <c r="E382" i="3"/>
  <c r="C377" i="3"/>
  <c r="C680" i="3"/>
  <c r="A1161" i="3"/>
  <c r="E621" i="3"/>
  <c r="B663" i="3"/>
  <c r="D677" i="3"/>
  <c r="A828" i="3"/>
  <c r="D633" i="3"/>
  <c r="F622" i="3"/>
  <c r="A618" i="3"/>
  <c r="F932" i="3"/>
  <c r="F191" i="3"/>
  <c r="E887" i="3"/>
  <c r="C126" i="3"/>
  <c r="B1195" i="3"/>
  <c r="F1102" i="3"/>
  <c r="E832" i="3"/>
  <c r="B414" i="3"/>
  <c r="E626" i="3"/>
  <c r="C618" i="3"/>
  <c r="D694" i="3"/>
  <c r="B752" i="3"/>
  <c r="E664" i="3"/>
  <c r="D596" i="3"/>
  <c r="F229" i="3"/>
  <c r="D299" i="3"/>
  <c r="C793" i="3"/>
  <c r="B392" i="3"/>
  <c r="F411" i="3"/>
  <c r="C660" i="3"/>
  <c r="A482" i="3"/>
  <c r="F15" i="3"/>
  <c r="A119" i="3"/>
  <c r="B606" i="3"/>
  <c r="B1099" i="3"/>
  <c r="B396" i="3"/>
  <c r="F466" i="3"/>
  <c r="B279" i="3"/>
  <c r="F100" i="3"/>
  <c r="D35" i="3"/>
  <c r="F530" i="3"/>
  <c r="C436" i="3"/>
  <c r="A652" i="3"/>
  <c r="F573" i="3"/>
  <c r="F711" i="3"/>
  <c r="E752" i="3"/>
  <c r="F1034" i="3"/>
  <c r="F155" i="3"/>
  <c r="A153" i="3"/>
  <c r="E1145" i="3"/>
  <c r="D246" i="3"/>
  <c r="D79" i="3"/>
  <c r="C1348" i="3"/>
  <c r="A1095" i="3"/>
  <c r="B1301" i="3"/>
  <c r="D884" i="3"/>
  <c r="B27" i="3"/>
  <c r="E414" i="3"/>
  <c r="A345" i="3"/>
  <c r="F801" i="3"/>
  <c r="C435" i="3"/>
  <c r="F1146" i="3"/>
  <c r="D970" i="3"/>
  <c r="E1258" i="3"/>
  <c r="E1344" i="3"/>
  <c r="D564" i="3"/>
  <c r="D675" i="3"/>
  <c r="F1115" i="3"/>
  <c r="B375" i="3"/>
  <c r="D967" i="3"/>
  <c r="E902" i="3"/>
  <c r="C826" i="3"/>
  <c r="B167" i="3"/>
  <c r="A688" i="3"/>
  <c r="B1080" i="3"/>
  <c r="D1342" i="3"/>
  <c r="A346" i="3"/>
  <c r="F143" i="3"/>
  <c r="F300" i="3"/>
  <c r="C958" i="3"/>
  <c r="F1173" i="3"/>
  <c r="B373" i="3"/>
  <c r="D739" i="3"/>
  <c r="C872" i="3"/>
  <c r="C461" i="3"/>
  <c r="E130" i="3"/>
  <c r="B159" i="3"/>
  <c r="C446" i="3"/>
  <c r="A868" i="3"/>
  <c r="F847" i="3"/>
  <c r="F2" i="3"/>
  <c r="F232" i="3"/>
  <c r="F494" i="3"/>
  <c r="B42" i="3"/>
  <c r="C727" i="3"/>
  <c r="A371" i="3"/>
  <c r="B516" i="3"/>
  <c r="F664" i="3"/>
  <c r="F694" i="3"/>
  <c r="C1336" i="3"/>
  <c r="B608" i="3"/>
  <c r="E322" i="3"/>
  <c r="B350" i="3"/>
  <c r="E524" i="3"/>
  <c r="A120" i="3"/>
  <c r="E1257" i="3"/>
  <c r="A963" i="3"/>
  <c r="D627" i="3"/>
  <c r="E835" i="3"/>
  <c r="B416" i="3"/>
  <c r="E1389" i="3"/>
  <c r="F383" i="3"/>
  <c r="B575" i="3"/>
  <c r="F148" i="3"/>
  <c r="E60" i="3"/>
  <c r="A188" i="3"/>
  <c r="E235" i="3"/>
  <c r="F602" i="3"/>
  <c r="C1394" i="3"/>
  <c r="D1076" i="3"/>
  <c r="A306" i="3"/>
  <c r="E467" i="3"/>
  <c r="C781" i="3"/>
  <c r="F1017" i="3"/>
  <c r="D345" i="3"/>
  <c r="C417" i="3"/>
  <c r="A133" i="3"/>
  <c r="E765" i="3"/>
  <c r="D906" i="3"/>
  <c r="B459" i="3"/>
  <c r="B382" i="3"/>
  <c r="F51" i="3"/>
  <c r="B379" i="3"/>
  <c r="B182" i="3"/>
  <c r="F107" i="3"/>
  <c r="F248" i="3"/>
  <c r="A1119" i="3"/>
  <c r="D541" i="3"/>
  <c r="F360" i="3"/>
  <c r="D252" i="3"/>
  <c r="A142" i="3"/>
  <c r="F859" i="3"/>
  <c r="A616" i="3"/>
  <c r="C634" i="3"/>
  <c r="C480" i="3"/>
  <c r="F239" i="3"/>
  <c r="B259" i="3"/>
  <c r="A619" i="3"/>
  <c r="A91" i="3"/>
  <c r="D812" i="3"/>
  <c r="A573" i="3"/>
  <c r="F1244" i="3"/>
  <c r="A556" i="3"/>
  <c r="E272" i="3"/>
  <c r="D846" i="3"/>
  <c r="F88" i="3"/>
  <c r="A245" i="3"/>
  <c r="E471" i="3"/>
  <c r="B253" i="3"/>
  <c r="A779" i="3"/>
  <c r="B753" i="3"/>
  <c r="C639" i="3"/>
  <c r="E431" i="3"/>
  <c r="C210" i="3"/>
  <c r="E13" i="3"/>
  <c r="A1407" i="3"/>
  <c r="E426" i="3"/>
  <c r="B1143" i="3"/>
  <c r="E681" i="3"/>
  <c r="B434" i="3"/>
  <c r="E1224" i="3"/>
  <c r="A97" i="3"/>
  <c r="B867" i="3"/>
  <c r="F575" i="3"/>
  <c r="D135" i="3"/>
  <c r="F469" i="3"/>
  <c r="B1378" i="3"/>
  <c r="D267" i="3"/>
  <c r="A442" i="3"/>
  <c r="A157" i="3"/>
  <c r="A702" i="3"/>
  <c r="F1057" i="3"/>
  <c r="C520" i="3"/>
  <c r="F762" i="3"/>
  <c r="B470" i="3"/>
  <c r="F911" i="3"/>
  <c r="D311" i="3"/>
  <c r="B1349" i="3"/>
  <c r="A1202" i="3"/>
  <c r="A374" i="3"/>
  <c r="B878" i="3"/>
  <c r="D206" i="3"/>
  <c r="D839" i="3"/>
  <c r="A845" i="3"/>
  <c r="C638" i="3"/>
  <c r="E1033" i="3"/>
  <c r="F637" i="3"/>
  <c r="F408" i="3"/>
  <c r="D720" i="3"/>
  <c r="B958" i="3"/>
  <c r="C911" i="3"/>
  <c r="F606" i="3"/>
  <c r="B336" i="3"/>
  <c r="A353" i="3"/>
  <c r="C339" i="3"/>
  <c r="C285" i="3"/>
  <c r="F477" i="3"/>
  <c r="E547" i="3"/>
  <c r="B1028" i="3"/>
  <c r="A237" i="3"/>
  <c r="A1078" i="3"/>
  <c r="C528" i="3"/>
  <c r="B711" i="3"/>
  <c r="C593" i="3"/>
  <c r="A939" i="3"/>
  <c r="D831" i="3"/>
  <c r="D801" i="3"/>
  <c r="F382" i="3"/>
  <c r="C1268" i="3"/>
  <c r="F900" i="3"/>
  <c r="C851" i="3"/>
  <c r="B802" i="3"/>
  <c r="B480" i="3"/>
  <c r="D508" i="3"/>
  <c r="C276" i="3"/>
  <c r="B739" i="3"/>
  <c r="B443" i="3"/>
  <c r="F455" i="3"/>
  <c r="B600" i="3"/>
  <c r="E829" i="3"/>
  <c r="C957" i="3"/>
  <c r="C553" i="3"/>
  <c r="F646" i="3"/>
  <c r="A242" i="3"/>
  <c r="D915" i="3"/>
  <c r="E139" i="3"/>
  <c r="C1049" i="3"/>
  <c r="F362" i="3"/>
  <c r="B730" i="3"/>
  <c r="E240" i="3"/>
  <c r="B446" i="3"/>
  <c r="B613" i="3"/>
  <c r="B345" i="3"/>
  <c r="B346" i="3"/>
  <c r="D520" i="3"/>
  <c r="B1327" i="3"/>
  <c r="F503" i="3"/>
  <c r="D432" i="3"/>
  <c r="E481" i="3"/>
  <c r="C1073" i="3"/>
  <c r="B11" i="3"/>
  <c r="C23" i="3"/>
  <c r="B310" i="3"/>
  <c r="A1173" i="3"/>
  <c r="B724" i="3"/>
  <c r="B436" i="3"/>
  <c r="F82" i="3"/>
  <c r="A193" i="3"/>
  <c r="C311" i="3"/>
  <c r="F634" i="3"/>
  <c r="D754" i="3"/>
  <c r="A604" i="3"/>
  <c r="E1282" i="3"/>
  <c r="F288" i="3"/>
  <c r="B31" i="3"/>
  <c r="E212" i="3"/>
  <c r="B281" i="3"/>
  <c r="B384" i="3"/>
  <c r="F1219" i="3"/>
  <c r="B39" i="3"/>
  <c r="B315" i="3"/>
  <c r="F1179" i="3"/>
  <c r="D396" i="3"/>
  <c r="F37" i="3"/>
  <c r="C807" i="3"/>
  <c r="D123" i="3"/>
  <c r="B667" i="3"/>
  <c r="D741" i="3"/>
  <c r="B807" i="3"/>
  <c r="E264" i="3"/>
  <c r="D180" i="3"/>
  <c r="C65" i="3"/>
  <c r="C283" i="3"/>
  <c r="E529" i="3"/>
  <c r="B840" i="3"/>
  <c r="A947" i="3"/>
  <c r="C709" i="3"/>
  <c r="D389" i="3"/>
  <c r="F734" i="3"/>
  <c r="B457" i="3"/>
  <c r="C25" i="3"/>
  <c r="D948" i="3"/>
  <c r="C381" i="3"/>
  <c r="A871" i="3"/>
  <c r="F809" i="3"/>
  <c r="D1186" i="3"/>
  <c r="A272" i="3"/>
  <c r="E850" i="3"/>
  <c r="A1402" i="3"/>
  <c r="C497" i="3"/>
  <c r="E736" i="3"/>
  <c r="C387" i="3"/>
  <c r="A290" i="3"/>
  <c r="D269" i="3"/>
  <c r="F353" i="3"/>
  <c r="D383" i="3"/>
  <c r="E1070" i="3"/>
  <c r="D1053" i="3"/>
  <c r="F118" i="3"/>
  <c r="F172" i="3"/>
  <c r="A941" i="3"/>
  <c r="A368" i="3"/>
  <c r="D516" i="3"/>
  <c r="E885" i="3"/>
  <c r="F198" i="3"/>
  <c r="A38" i="3"/>
  <c r="E408" i="3"/>
  <c r="D171" i="3"/>
  <c r="D691" i="3"/>
  <c r="E381" i="3"/>
  <c r="F765" i="3"/>
  <c r="B290" i="3"/>
  <c r="C391" i="3"/>
  <c r="D338" i="3"/>
  <c r="C578" i="3"/>
  <c r="B897" i="3"/>
  <c r="F456" i="3"/>
  <c r="B827" i="3"/>
  <c r="C570" i="3"/>
  <c r="D327" i="3"/>
  <c r="B445" i="3"/>
  <c r="A804" i="3"/>
  <c r="B284" i="3"/>
  <c r="B619" i="3"/>
  <c r="D467" i="3"/>
  <c r="B894" i="3"/>
  <c r="B941" i="3"/>
  <c r="E352" i="3"/>
  <c r="E1327" i="3"/>
  <c r="A1056" i="3"/>
  <c r="B616" i="3"/>
  <c r="A363" i="3"/>
  <c r="A30" i="3"/>
  <c r="D159" i="3"/>
  <c r="E576" i="3"/>
  <c r="A424" i="3"/>
  <c r="F294" i="3"/>
  <c r="F1206" i="3"/>
  <c r="D862" i="3"/>
  <c r="F262" i="3"/>
  <c r="B220" i="3"/>
  <c r="F108" i="3"/>
  <c r="E1371" i="3"/>
  <c r="C16" i="3"/>
  <c r="F1165" i="3"/>
  <c r="E304" i="3"/>
  <c r="A492" i="3"/>
  <c r="D993" i="3"/>
  <c r="A383" i="3"/>
  <c r="B744" i="3"/>
  <c r="C154" i="3"/>
  <c r="B359" i="3"/>
  <c r="C918" i="3"/>
  <c r="F1208" i="3"/>
  <c r="F529" i="3"/>
  <c r="C1107" i="3"/>
  <c r="C1337" i="3"/>
  <c r="B1310" i="3"/>
  <c r="A708" i="3"/>
  <c r="B442" i="3"/>
  <c r="C97" i="3"/>
  <c r="C920" i="3"/>
  <c r="A858" i="3"/>
  <c r="D766" i="3"/>
  <c r="C249" i="3"/>
  <c r="B623" i="3"/>
  <c r="F583" i="3"/>
  <c r="D356" i="3"/>
  <c r="E1283" i="3"/>
  <c r="F824" i="3"/>
  <c r="A458" i="3"/>
  <c r="D157" i="3"/>
  <c r="A1159" i="3"/>
  <c r="E1165" i="3"/>
  <c r="D427" i="3"/>
  <c r="B135" i="3"/>
  <c r="C264" i="3"/>
  <c r="B698" i="3"/>
  <c r="B26" i="3"/>
  <c r="F259" i="3"/>
  <c r="B413" i="3"/>
  <c r="A53" i="3"/>
  <c r="D268" i="3"/>
  <c r="B319" i="3"/>
  <c r="D119" i="3"/>
  <c r="B762" i="3"/>
  <c r="E269" i="3"/>
  <c r="B235" i="3"/>
  <c r="F44" i="3"/>
  <c r="D542" i="3"/>
  <c r="B605" i="3"/>
  <c r="B146" i="3"/>
  <c r="C337" i="3"/>
  <c r="B194" i="3"/>
  <c r="D176" i="3"/>
  <c r="E282" i="3"/>
  <c r="C961" i="3"/>
  <c r="E415" i="3"/>
  <c r="A487" i="3"/>
  <c r="A784" i="3"/>
  <c r="D1401" i="3"/>
  <c r="E810" i="3"/>
  <c r="F1377" i="3"/>
  <c r="A25" i="3"/>
  <c r="D1324" i="3"/>
  <c r="C651" i="3"/>
  <c r="F381" i="3"/>
  <c r="F939" i="3"/>
  <c r="E898" i="3"/>
  <c r="E508" i="3"/>
  <c r="B963" i="3"/>
  <c r="D804" i="3"/>
  <c r="A542" i="3"/>
  <c r="C544" i="3"/>
  <c r="C1175" i="3"/>
  <c r="C462" i="3"/>
  <c r="A1217" i="3"/>
  <c r="C301" i="3"/>
  <c r="D563" i="3"/>
  <c r="A121" i="3"/>
  <c r="E761" i="3"/>
  <c r="B823" i="3"/>
  <c r="D1278" i="3"/>
  <c r="E1273" i="3"/>
  <c r="C956" i="3"/>
  <c r="E160" i="3"/>
  <c r="C492" i="3"/>
  <c r="A333" i="3"/>
  <c r="F447" i="3"/>
  <c r="F425" i="3"/>
  <c r="A381" i="3"/>
  <c r="B670" i="3"/>
  <c r="B299" i="3"/>
  <c r="F444" i="3"/>
  <c r="B38" i="3"/>
  <c r="A793" i="3"/>
  <c r="D657" i="3"/>
  <c r="D808" i="3"/>
  <c r="F109" i="3"/>
  <c r="A822" i="3"/>
  <c r="B595" i="3"/>
  <c r="D495" i="3"/>
  <c r="A569" i="3"/>
  <c r="F733" i="3"/>
  <c r="F827" i="3"/>
  <c r="A637" i="3"/>
  <c r="C474" i="3"/>
  <c r="A182" i="3"/>
  <c r="A241" i="3"/>
  <c r="E786" i="3"/>
  <c r="C854" i="3"/>
  <c r="C847" i="3"/>
  <c r="F534" i="3"/>
  <c r="A174" i="3"/>
  <c r="C975" i="3"/>
  <c r="A1264" i="3"/>
  <c r="F1215" i="3"/>
  <c r="A240" i="3"/>
  <c r="F548" i="3"/>
  <c r="D1056" i="3"/>
  <c r="B552" i="3"/>
  <c r="C978" i="3"/>
  <c r="D62" i="3"/>
  <c r="A391" i="3"/>
  <c r="D187" i="3"/>
  <c r="A106" i="3"/>
  <c r="A818" i="3"/>
  <c r="D1250" i="3"/>
  <c r="A1286" i="3"/>
  <c r="A673" i="3"/>
  <c r="A1040" i="3"/>
  <c r="C1029" i="3"/>
  <c r="E939" i="3"/>
  <c r="C215" i="3"/>
  <c r="F1323" i="3"/>
  <c r="B316" i="3"/>
  <c r="C801" i="3"/>
  <c r="D320" i="3"/>
  <c r="D112" i="3"/>
  <c r="B149" i="3"/>
  <c r="B7" i="3"/>
  <c r="A311" i="3"/>
  <c r="B817" i="3"/>
  <c r="E841" i="3"/>
  <c r="F1267" i="3"/>
  <c r="C1088" i="3"/>
  <c r="B187" i="3"/>
  <c r="C1191" i="3"/>
  <c r="C398" i="3"/>
  <c r="A176" i="3"/>
  <c r="F342" i="3"/>
  <c r="E802" i="3"/>
  <c r="B105" i="3"/>
  <c r="D512" i="3"/>
  <c r="A319" i="3"/>
  <c r="D1264" i="3"/>
  <c r="D496" i="3"/>
  <c r="A161" i="3"/>
  <c r="B1287" i="3"/>
  <c r="E335" i="3"/>
  <c r="E1053" i="3"/>
  <c r="C326" i="3"/>
  <c r="D1092" i="3"/>
  <c r="F157" i="3"/>
  <c r="E801" i="3"/>
  <c r="C1401" i="3"/>
  <c r="F273" i="3"/>
  <c r="A104" i="3"/>
  <c r="E584" i="3"/>
  <c r="B286" i="3"/>
  <c r="F689" i="3"/>
  <c r="E497" i="3"/>
  <c r="B1405" i="3"/>
  <c r="E768" i="3"/>
  <c r="D567" i="3"/>
  <c r="F188" i="3"/>
  <c r="C1125" i="3"/>
  <c r="A896" i="3"/>
  <c r="C752" i="3"/>
  <c r="F267" i="3"/>
  <c r="A571" i="3"/>
  <c r="A413" i="3"/>
  <c r="C442" i="3"/>
  <c r="C205" i="3"/>
  <c r="E680" i="3"/>
  <c r="A16" i="3"/>
  <c r="C778" i="3"/>
  <c r="F301" i="3"/>
  <c r="E741" i="3"/>
  <c r="F39" i="3"/>
  <c r="C681" i="3"/>
  <c r="E465" i="3"/>
  <c r="B914" i="3"/>
  <c r="F933" i="3"/>
  <c r="C394" i="3"/>
  <c r="C942" i="3"/>
  <c r="F819" i="3"/>
  <c r="F655" i="3"/>
  <c r="E977" i="3"/>
  <c r="F871" i="3"/>
  <c r="D506" i="3"/>
  <c r="D1068" i="3"/>
  <c r="D464" i="3"/>
  <c r="F9" i="3"/>
  <c r="B55" i="3"/>
  <c r="D605" i="3"/>
  <c r="C505" i="3"/>
  <c r="E397" i="3"/>
  <c r="E770" i="3"/>
  <c r="F488" i="3"/>
  <c r="F372" i="3"/>
  <c r="F1373" i="3"/>
  <c r="E162" i="3"/>
  <c r="C517" i="3"/>
  <c r="F216" i="3"/>
  <c r="C153" i="3"/>
  <c r="D1097" i="3"/>
  <c r="C560" i="3"/>
  <c r="E196" i="3"/>
  <c r="D550" i="3"/>
  <c r="A265" i="3"/>
  <c r="E575" i="3"/>
  <c r="A145" i="3"/>
  <c r="F221" i="3"/>
  <c r="D332" i="3"/>
  <c r="F103" i="3"/>
  <c r="D198" i="3"/>
  <c r="B755" i="3"/>
  <c r="B338" i="3"/>
  <c r="E37" i="3"/>
  <c r="D745" i="3"/>
  <c r="D121" i="3"/>
  <c r="F218" i="3"/>
  <c r="F728" i="3"/>
  <c r="D393" i="3"/>
  <c r="C1307" i="3"/>
  <c r="B1016" i="3"/>
  <c r="C160" i="3"/>
  <c r="B378" i="3"/>
  <c r="F550" i="3"/>
  <c r="C1048" i="3"/>
  <c r="A875" i="3"/>
  <c r="E572" i="3"/>
  <c r="D164" i="3"/>
  <c r="A2" i="3"/>
  <c r="B14" i="3"/>
  <c r="C1181" i="3"/>
  <c r="E47" i="3"/>
  <c r="A863" i="3"/>
  <c r="B170" i="3"/>
  <c r="E330" i="3"/>
  <c r="A1328" i="3"/>
  <c r="C482" i="3"/>
  <c r="F648" i="3"/>
  <c r="C1096" i="3"/>
  <c r="D401" i="3"/>
  <c r="D1032" i="3"/>
  <c r="F916" i="3"/>
  <c r="D144" i="3"/>
  <c r="E365" i="3"/>
  <c r="B447" i="3"/>
  <c r="B816" i="3"/>
  <c r="F200" i="3"/>
  <c r="A483" i="3"/>
  <c r="B12" i="3"/>
  <c r="D1086" i="3"/>
  <c r="A894" i="3"/>
  <c r="C559" i="3"/>
  <c r="A1142" i="3"/>
  <c r="B521" i="3"/>
  <c r="F1041" i="3"/>
  <c r="A276" i="3"/>
  <c r="C600" i="3"/>
  <c r="D133" i="3"/>
  <c r="D1009" i="3"/>
  <c r="A275" i="3"/>
  <c r="A752" i="3"/>
  <c r="E548" i="3"/>
  <c r="A171" i="3"/>
  <c r="A84" i="3"/>
  <c r="E298" i="3"/>
  <c r="E153" i="3"/>
  <c r="B553" i="3"/>
  <c r="F621" i="3"/>
  <c r="B979" i="3"/>
  <c r="A672" i="3"/>
  <c r="E285" i="3"/>
  <c r="D324" i="3"/>
  <c r="C598" i="3"/>
  <c r="C236" i="3"/>
  <c r="F334" i="3"/>
  <c r="E540" i="3"/>
  <c r="D1033" i="3"/>
  <c r="C862" i="3"/>
  <c r="C226" i="3"/>
  <c r="F34" i="3"/>
  <c r="D1257" i="3"/>
  <c r="B1333" i="3"/>
  <c r="D628" i="3"/>
  <c r="A519" i="3"/>
  <c r="A1299" i="3"/>
  <c r="A201" i="3"/>
  <c r="D789" i="3"/>
  <c r="C67" i="3"/>
  <c r="B106" i="3"/>
  <c r="E546" i="3"/>
  <c r="C777" i="3"/>
  <c r="F1083" i="3"/>
  <c r="A967" i="3"/>
  <c r="E35" i="3"/>
  <c r="A956" i="3"/>
  <c r="B251" i="3"/>
  <c r="D735" i="3"/>
  <c r="A964" i="3"/>
  <c r="C746" i="3"/>
  <c r="F1050" i="3"/>
  <c r="E625" i="3"/>
  <c r="B800" i="3"/>
  <c r="D1015" i="3"/>
  <c r="E201" i="3"/>
  <c r="F615" i="3"/>
  <c r="F142" i="3"/>
  <c r="D213" i="3"/>
  <c r="B677" i="3"/>
  <c r="C887" i="3"/>
  <c r="D1215" i="3"/>
  <c r="A425" i="3"/>
  <c r="E354" i="3"/>
  <c r="C117" i="3"/>
  <c r="A109" i="3"/>
  <c r="F489" i="3"/>
  <c r="C1378" i="3"/>
  <c r="B51" i="3"/>
  <c r="A839" i="3"/>
  <c r="C713" i="3"/>
  <c r="F657" i="3"/>
  <c r="F1081" i="3"/>
  <c r="E250" i="3"/>
  <c r="C390" i="3"/>
  <c r="C123" i="3"/>
  <c r="A1395" i="3"/>
  <c r="A590" i="3"/>
  <c r="D333" i="3"/>
  <c r="D850" i="3"/>
  <c r="D209" i="3"/>
  <c r="D342" i="3"/>
  <c r="D162" i="3"/>
  <c r="D78" i="3"/>
  <c r="C111" i="3"/>
  <c r="B244" i="3"/>
  <c r="F113" i="3"/>
  <c r="A453" i="3"/>
  <c r="A168" i="3"/>
  <c r="B891" i="3"/>
  <c r="E744" i="3"/>
  <c r="C231" i="3"/>
  <c r="F430" i="3"/>
  <c r="A212" i="3"/>
  <c r="D897" i="3"/>
  <c r="E273" i="3"/>
  <c r="B198" i="3"/>
  <c r="A755" i="3"/>
  <c r="B851" i="3"/>
  <c r="D623" i="3"/>
  <c r="A181" i="3"/>
  <c r="E278" i="3"/>
  <c r="D1071" i="3"/>
  <c r="E1007" i="3"/>
  <c r="C82" i="3"/>
  <c r="B285" i="3"/>
  <c r="C199" i="3"/>
  <c r="B881" i="3"/>
  <c r="B763" i="3"/>
  <c r="C399" i="3"/>
  <c r="D445" i="3"/>
  <c r="A1241" i="3"/>
  <c r="F643" i="3"/>
  <c r="D66" i="3"/>
  <c r="C515" i="3"/>
  <c r="F855" i="3"/>
  <c r="F77" i="3"/>
  <c r="C362" i="3"/>
  <c r="D36" i="3"/>
  <c r="D549" i="3"/>
  <c r="A867" i="3"/>
  <c r="A228" i="3"/>
  <c r="A1151" i="3"/>
  <c r="B1111" i="3"/>
  <c r="A267" i="3"/>
  <c r="B355" i="3"/>
  <c r="B400" i="3"/>
  <c r="A710" i="3"/>
  <c r="C590" i="3"/>
  <c r="A199" i="3"/>
  <c r="A202" i="3"/>
  <c r="C636" i="3"/>
  <c r="B1119" i="3"/>
  <c r="F280" i="3"/>
  <c r="E716" i="3"/>
  <c r="C191" i="3"/>
  <c r="D761" i="3"/>
  <c r="C68" i="3"/>
  <c r="F499" i="3"/>
  <c r="A320" i="3"/>
  <c r="C469" i="3"/>
  <c r="A19" i="3"/>
  <c r="F312" i="3"/>
  <c r="F371" i="3"/>
  <c r="B814" i="3"/>
  <c r="B157" i="3"/>
  <c r="F532" i="3"/>
  <c r="C22" i="3"/>
  <c r="F699" i="3"/>
  <c r="A395" i="3"/>
  <c r="B331" i="3"/>
  <c r="D1343" i="3"/>
  <c r="B237" i="3"/>
  <c r="C1018" i="3"/>
  <c r="A821" i="3"/>
  <c r="F250" i="3"/>
  <c r="D423" i="3"/>
  <c r="E159" i="3"/>
  <c r="D1293" i="3"/>
  <c r="E422" i="3"/>
  <c r="A682" i="3"/>
  <c r="A808" i="3"/>
  <c r="C758" i="3"/>
  <c r="F40" i="3"/>
  <c r="B474" i="3"/>
  <c r="E515" i="3"/>
  <c r="A1017" i="3"/>
  <c r="E586" i="3"/>
  <c r="C6" i="3"/>
  <c r="B3" i="3"/>
  <c r="F970" i="3"/>
  <c r="D618" i="3"/>
  <c r="D372" i="3"/>
  <c r="E185" i="3"/>
  <c r="E336" i="3"/>
  <c r="A211" i="3"/>
  <c r="E855" i="3"/>
  <c r="B1198" i="3"/>
  <c r="D126" i="3"/>
  <c r="E611" i="3"/>
  <c r="D1125" i="3"/>
  <c r="F745" i="3"/>
  <c r="E346" i="3"/>
  <c r="C1001" i="3"/>
  <c r="C262" i="3"/>
  <c r="A101" i="3"/>
  <c r="B278" i="3"/>
  <c r="A918" i="3"/>
  <c r="C1241" i="3"/>
  <c r="F1137" i="3"/>
  <c r="B300" i="3"/>
  <c r="E479" i="3"/>
  <c r="C1112" i="3"/>
  <c r="C772" i="3"/>
  <c r="C151" i="3"/>
  <c r="E79" i="3"/>
  <c r="D983" i="3"/>
  <c r="E121" i="3"/>
  <c r="B304" i="3"/>
  <c r="F165" i="3"/>
  <c r="E48" i="3"/>
  <c r="C678" i="3"/>
  <c r="E97" i="3"/>
  <c r="F484" i="3"/>
  <c r="A989" i="3"/>
  <c r="E1372" i="3"/>
  <c r="E82" i="3"/>
  <c r="D1077" i="3"/>
  <c r="B976" i="3"/>
  <c r="A705" i="3"/>
  <c r="C52" i="3"/>
  <c r="A414" i="3"/>
  <c r="D203" i="3"/>
  <c r="A479" i="3"/>
  <c r="B366" i="3"/>
  <c r="E228" i="3"/>
  <c r="B328" i="3"/>
  <c r="D819" i="3"/>
  <c r="C1179" i="3"/>
  <c r="B195" i="3"/>
  <c r="F17" i="3"/>
  <c r="C197" i="3"/>
  <c r="C255" i="3"/>
  <c r="E1276" i="3"/>
  <c r="F638" i="3"/>
  <c r="A928" i="3"/>
  <c r="C382" i="3"/>
  <c r="B70" i="3"/>
  <c r="B748" i="3"/>
  <c r="E1291" i="3"/>
  <c r="E221" i="3"/>
  <c r="F377" i="3"/>
  <c r="E58" i="3"/>
  <c r="B528" i="3"/>
  <c r="C771" i="3"/>
  <c r="C268" i="3"/>
  <c r="E609" i="3"/>
  <c r="F513" i="3"/>
  <c r="D326" i="3"/>
  <c r="C873" i="3"/>
  <c r="D1124" i="3"/>
  <c r="C247" i="3"/>
  <c r="B1021" i="3"/>
  <c r="D370" i="3"/>
  <c r="A401" i="3"/>
  <c r="C776" i="3"/>
  <c r="D151" i="3"/>
  <c r="A958" i="3"/>
  <c r="E555" i="3"/>
  <c r="F361" i="3"/>
  <c r="A715" i="3"/>
  <c r="B1271" i="3"/>
  <c r="E447" i="3"/>
  <c r="D185" i="3"/>
  <c r="D321" i="3"/>
  <c r="B587" i="3"/>
  <c r="F708" i="3"/>
  <c r="B197" i="3"/>
  <c r="F304" i="3"/>
  <c r="A57" i="3"/>
  <c r="A392" i="3"/>
  <c r="B466" i="3"/>
  <c r="E554" i="3"/>
  <c r="F919" i="3"/>
  <c r="C83" i="3"/>
  <c r="D388" i="3"/>
  <c r="A86" i="3"/>
  <c r="B100" i="3"/>
  <c r="C856" i="3"/>
  <c r="D283" i="3"/>
  <c r="D68" i="3"/>
  <c r="A459" i="3"/>
  <c r="C353" i="3"/>
  <c r="E1036" i="3"/>
  <c r="F404" i="3"/>
  <c r="A177" i="3"/>
  <c r="F258" i="3"/>
  <c r="C370" i="3"/>
  <c r="F792" i="3"/>
  <c r="C703" i="3"/>
  <c r="C547" i="3"/>
  <c r="E344" i="3"/>
  <c r="A549" i="3"/>
  <c r="B59" i="3"/>
  <c r="A762" i="3"/>
  <c r="B161" i="3"/>
  <c r="F272" i="3"/>
  <c r="A315" i="3"/>
  <c r="C186" i="3"/>
  <c r="D433" i="3"/>
  <c r="C346" i="3"/>
  <c r="C291" i="3"/>
  <c r="A510" i="3"/>
  <c r="B780" i="3"/>
  <c r="D222" i="3"/>
  <c r="B145" i="3"/>
  <c r="C849" i="3"/>
  <c r="A18" i="3"/>
  <c r="B405" i="3"/>
  <c r="F1074" i="3"/>
  <c r="D446" i="3"/>
  <c r="F26" i="3"/>
  <c r="E871" i="3"/>
  <c r="E763" i="3"/>
  <c r="A1073" i="3"/>
  <c r="A753" i="3"/>
  <c r="C816" i="3"/>
  <c r="A330" i="3"/>
  <c r="B451" i="3"/>
  <c r="A305" i="3"/>
  <c r="A376" i="3"/>
  <c r="A642" i="3"/>
  <c r="A952" i="3"/>
  <c r="A915" i="3"/>
  <c r="C1281" i="3"/>
  <c r="D240" i="3"/>
  <c r="B4" i="3"/>
  <c r="A914" i="3"/>
  <c r="E1065" i="3"/>
  <c r="C87" i="3"/>
  <c r="C430" i="3"/>
  <c r="B717" i="3"/>
  <c r="B880" i="3"/>
  <c r="C1152" i="3"/>
  <c r="E867" i="3"/>
  <c r="D230" i="3"/>
  <c r="C358" i="3"/>
  <c r="C1211" i="3"/>
  <c r="C34" i="3"/>
  <c r="B787" i="3"/>
  <c r="C74" i="3"/>
  <c r="B312" i="3"/>
  <c r="A536" i="3"/>
  <c r="E232" i="3"/>
  <c r="B327" i="3"/>
  <c r="E1155" i="3"/>
  <c r="F42" i="3"/>
  <c r="A63" i="3"/>
  <c r="D529" i="3"/>
  <c r="A529" i="3"/>
  <c r="D422" i="3"/>
  <c r="E287" i="3"/>
  <c r="F276" i="3"/>
  <c r="D211" i="3"/>
  <c r="F279" i="3"/>
  <c r="F401" i="3"/>
  <c r="D500" i="3"/>
  <c r="C745" i="3"/>
  <c r="F345" i="3"/>
  <c r="E257" i="3"/>
  <c r="D424" i="3"/>
  <c r="F721" i="3"/>
  <c r="F1211" i="3"/>
  <c r="E895" i="3"/>
  <c r="E691" i="3"/>
  <c r="A1036" i="3"/>
  <c r="A205" i="3"/>
  <c r="E308" i="3"/>
  <c r="A454" i="3"/>
  <c r="A1067" i="3"/>
  <c r="B830" i="3"/>
  <c r="A284" i="3"/>
  <c r="F659" i="3"/>
  <c r="D953" i="3"/>
  <c r="F1298" i="3"/>
  <c r="C257" i="3"/>
  <c r="F928" i="3"/>
  <c r="E1038" i="3"/>
  <c r="B886" i="3"/>
  <c r="B30" i="3"/>
  <c r="E618" i="3"/>
  <c r="E337" i="3"/>
  <c r="D537" i="3"/>
  <c r="C115" i="3"/>
  <c r="C988" i="3"/>
  <c r="B337" i="3"/>
  <c r="C991" i="3"/>
  <c r="E1151" i="3"/>
  <c r="D1114" i="3"/>
  <c r="F32" i="3"/>
  <c r="A444" i="3"/>
  <c r="F36" i="3"/>
  <c r="B892" i="3"/>
  <c r="B879" i="3"/>
  <c r="D1039" i="3"/>
  <c r="B733" i="3"/>
  <c r="D380" i="3"/>
  <c r="B16" i="3"/>
  <c r="F125" i="3"/>
  <c r="F43" i="3"/>
  <c r="C15" i="3"/>
  <c r="E882" i="3"/>
  <c r="B79" i="3"/>
  <c r="F199" i="3"/>
  <c r="D1022" i="3"/>
  <c r="E247" i="3"/>
  <c r="C513" i="3"/>
  <c r="A66" i="3"/>
  <c r="D368" i="3"/>
  <c r="C1374" i="3"/>
  <c r="F480" i="3"/>
  <c r="D340" i="3"/>
  <c r="D130" i="3"/>
  <c r="E845" i="3"/>
  <c r="C1120" i="3"/>
  <c r="E538" i="3"/>
  <c r="D678" i="3"/>
  <c r="E356" i="3"/>
  <c r="C269" i="3"/>
  <c r="A131" i="3"/>
  <c r="E601" i="3"/>
  <c r="C237" i="3"/>
  <c r="E629" i="3"/>
  <c r="F909" i="3"/>
  <c r="A791" i="3"/>
  <c r="E9" i="3"/>
  <c r="C865" i="3"/>
  <c r="A122" i="3"/>
  <c r="E1213" i="3"/>
  <c r="F266" i="3"/>
  <c r="E6" i="3"/>
  <c r="F680" i="3"/>
  <c r="D1202" i="3"/>
  <c r="A1099" i="3"/>
  <c r="C594" i="3"/>
  <c r="C563" i="3"/>
  <c r="A575" i="3"/>
  <c r="F420" i="3"/>
  <c r="F1374" i="3"/>
  <c r="A515" i="3"/>
  <c r="E836" i="3"/>
  <c r="A162" i="3"/>
  <c r="F367" i="3"/>
  <c r="E40" i="3"/>
  <c r="A389" i="3"/>
  <c r="F413" i="3"/>
  <c r="C965" i="3"/>
  <c r="E249" i="3"/>
  <c r="C297" i="3"/>
  <c r="D1237" i="3"/>
  <c r="A503" i="3"/>
  <c r="E506" i="3"/>
  <c r="E1064" i="3"/>
  <c r="B356" i="3"/>
  <c r="E396" i="3"/>
  <c r="F1183" i="3"/>
  <c r="D99" i="3"/>
  <c r="E637" i="3"/>
  <c r="E412" i="3"/>
  <c r="D120" i="3"/>
  <c r="A473" i="3"/>
  <c r="D857" i="3"/>
  <c r="D460" i="3"/>
  <c r="E951" i="3"/>
  <c r="D190" i="3"/>
  <c r="D795" i="3"/>
  <c r="B438" i="3"/>
  <c r="D341" i="3"/>
  <c r="A1420" i="3"/>
  <c r="D491" i="3"/>
  <c r="B430" i="3"/>
  <c r="C980" i="3"/>
  <c r="C576" i="3"/>
  <c r="D985" i="3"/>
  <c r="C531" i="3"/>
  <c r="C72" i="3"/>
  <c r="F133" i="3"/>
  <c r="A535" i="3"/>
  <c r="E395" i="3"/>
  <c r="C1017" i="3"/>
  <c r="C506" i="3"/>
  <c r="B1171" i="3"/>
  <c r="D1010" i="3"/>
  <c r="A342" i="3"/>
  <c r="C348" i="3"/>
  <c r="E946" i="3"/>
  <c r="F87" i="3"/>
  <c r="F1357" i="3"/>
  <c r="F48" i="3"/>
  <c r="F863" i="3"/>
  <c r="D499" i="3"/>
  <c r="A410" i="3"/>
  <c r="B374" i="3"/>
  <c r="D428" i="3"/>
  <c r="B440" i="3"/>
  <c r="F403" i="3"/>
  <c r="A704" i="3"/>
  <c r="B200" i="3"/>
  <c r="C53" i="3"/>
  <c r="A440" i="3"/>
  <c r="C248" i="3"/>
  <c r="A419" i="3"/>
  <c r="C1111" i="3"/>
  <c r="A512" i="3"/>
  <c r="D820" i="3"/>
  <c r="B173" i="3"/>
  <c r="F96" i="3"/>
  <c r="D317" i="3"/>
  <c r="D806" i="3"/>
  <c r="D94" i="3"/>
  <c r="E39" i="3"/>
  <c r="B591" i="3"/>
  <c r="B255" i="3"/>
  <c r="A112" i="3"/>
  <c r="E45" i="3"/>
  <c r="E643" i="3"/>
  <c r="C19" i="3"/>
  <c r="D105" i="3"/>
  <c r="A293" i="3"/>
  <c r="E357" i="3"/>
  <c r="D969" i="3"/>
  <c r="E378" i="3"/>
  <c r="E807" i="3"/>
  <c r="C190" i="3"/>
  <c r="C657" i="3"/>
  <c r="F1014" i="3"/>
  <c r="A1048" i="3"/>
  <c r="B35" i="3"/>
  <c r="A6" i="3"/>
  <c r="D1099" i="3"/>
  <c r="C138" i="3"/>
  <c r="C516" i="3"/>
  <c r="D594" i="3"/>
  <c r="A377" i="3"/>
  <c r="F69" i="3"/>
  <c r="E418" i="3"/>
  <c r="F445" i="3"/>
  <c r="D347" i="3"/>
  <c r="F104" i="3"/>
  <c r="D791" i="3"/>
  <c r="F1062" i="3"/>
  <c r="B53" i="3"/>
  <c r="D706" i="3"/>
  <c r="B1134" i="3"/>
  <c r="D1045" i="3"/>
  <c r="D502" i="3"/>
  <c r="D23" i="3"/>
  <c r="C428" i="3"/>
  <c r="C414" i="3"/>
  <c r="E218" i="3"/>
  <c r="F311" i="3"/>
  <c r="E541" i="3"/>
  <c r="E175" i="3"/>
  <c r="D61" i="3"/>
  <c r="B387" i="3"/>
  <c r="C171" i="3"/>
  <c r="A1182" i="3"/>
  <c r="B180" i="3"/>
  <c r="B423" i="3"/>
  <c r="E456" i="3"/>
  <c r="E376" i="3"/>
  <c r="C689" i="3"/>
  <c r="F23" i="3"/>
  <c r="A564" i="3"/>
  <c r="A127" i="3"/>
  <c r="B429" i="3"/>
  <c r="D46" i="3"/>
  <c r="C409" i="3"/>
  <c r="D217" i="3"/>
  <c r="E157" i="3"/>
  <c r="A96" i="3"/>
  <c r="A864" i="3"/>
  <c r="A27" i="3"/>
  <c r="D844" i="3"/>
  <c r="A699" i="3"/>
  <c r="F85" i="3"/>
  <c r="A970" i="3"/>
  <c r="A20" i="3"/>
  <c r="AK10" i="12" s="1"/>
  <c r="A920" i="3"/>
  <c r="E445" i="3"/>
  <c r="B283" i="3"/>
  <c r="E116" i="3"/>
  <c r="B141" i="3"/>
  <c r="B772" i="3"/>
  <c r="C615" i="3"/>
  <c r="F92" i="3"/>
  <c r="F1153" i="3"/>
  <c r="E585" i="3"/>
  <c r="B1145" i="3"/>
  <c r="E57" i="3"/>
  <c r="E622" i="3"/>
  <c r="E17" i="3"/>
  <c r="F771" i="3"/>
  <c r="E64" i="3"/>
  <c r="C133" i="3"/>
  <c r="F678" i="3"/>
  <c r="B431" i="3"/>
  <c r="B184" i="3"/>
  <c r="C172" i="3"/>
  <c r="D487" i="3"/>
  <c r="D207" i="3"/>
  <c r="B190" i="3"/>
  <c r="F121" i="3"/>
  <c r="F56" i="3"/>
  <c r="E197" i="3"/>
  <c r="E367" i="3"/>
  <c r="C537" i="3"/>
  <c r="C287" i="3"/>
  <c r="D412" i="3"/>
  <c r="F384" i="3"/>
  <c r="F140" i="3"/>
  <c r="B472" i="3"/>
  <c r="A1282" i="3"/>
  <c r="A689" i="3"/>
  <c r="B398" i="3"/>
  <c r="C993" i="3"/>
  <c r="E334" i="3"/>
  <c r="B318" i="3"/>
  <c r="B468" i="3"/>
  <c r="F673" i="3"/>
  <c r="F397" i="3"/>
  <c r="A713" i="3"/>
  <c r="C1197" i="3"/>
  <c r="E1220" i="3"/>
  <c r="F457" i="3"/>
  <c r="A501" i="3"/>
  <c r="C9" i="3"/>
  <c r="D280" i="3"/>
  <c r="D517" i="3"/>
  <c r="C332" i="3"/>
  <c r="B98" i="3"/>
  <c r="F325" i="3"/>
  <c r="D228" i="3"/>
  <c r="F662" i="3"/>
  <c r="D364" i="3"/>
  <c r="B441" i="3"/>
  <c r="C108" i="3"/>
  <c r="C137" i="3"/>
  <c r="A916" i="3"/>
  <c r="E759" i="3"/>
  <c r="A520" i="3"/>
  <c r="A901" i="3"/>
  <c r="D352" i="3"/>
  <c r="D796" i="3"/>
  <c r="C1039" i="3"/>
  <c r="F569" i="3"/>
  <c r="E219" i="3"/>
  <c r="D367" i="3"/>
  <c r="A125" i="3"/>
  <c r="D510" i="3"/>
  <c r="C92" i="3"/>
  <c r="F22" i="3"/>
  <c r="F256" i="3"/>
  <c r="C674" i="3"/>
  <c r="A514" i="3"/>
  <c r="B212" i="3"/>
  <c r="B291" i="3"/>
  <c r="D498" i="3"/>
  <c r="B749" i="3"/>
  <c r="E420" i="3"/>
  <c r="A37" i="3"/>
  <c r="D387" i="3"/>
  <c r="F378" i="3"/>
  <c r="C621" i="3"/>
  <c r="C175" i="3"/>
  <c r="D118" i="3"/>
  <c r="B555" i="3"/>
  <c r="A491" i="3"/>
  <c r="A420" i="3"/>
  <c r="A203" i="3"/>
  <c r="D589" i="3"/>
  <c r="B295" i="3"/>
  <c r="A711" i="3"/>
  <c r="F70" i="3"/>
  <c r="B1150" i="3"/>
  <c r="D376" i="3"/>
  <c r="A230" i="3"/>
  <c r="B1067" i="3"/>
  <c r="D122" i="3"/>
  <c r="B133" i="3"/>
  <c r="E371" i="3"/>
  <c r="D1057" i="3"/>
  <c r="E493" i="3"/>
  <c r="A301" i="3"/>
  <c r="D497" i="3"/>
  <c r="E171" i="3"/>
  <c r="C253" i="3"/>
  <c r="B439" i="3"/>
  <c r="B358" i="3"/>
  <c r="D534" i="3"/>
  <c r="A263" i="3"/>
  <c r="E120" i="3"/>
  <c r="E1142" i="3"/>
  <c r="F189" i="3"/>
  <c r="C437" i="3"/>
  <c r="E519" i="3"/>
  <c r="C812" i="3"/>
  <c r="C266" i="3"/>
  <c r="A5" i="3"/>
  <c r="C407" i="3"/>
  <c r="A450" i="3"/>
  <c r="F755" i="3"/>
  <c r="A74" i="3"/>
  <c r="A476" i="3"/>
  <c r="C431" i="3"/>
  <c r="C38" i="3"/>
  <c r="A1129" i="3"/>
  <c r="A770" i="3"/>
  <c r="F169" i="3"/>
  <c r="F443" i="3"/>
  <c r="B218" i="3"/>
  <c r="C460" i="3"/>
  <c r="A148" i="3"/>
  <c r="E512" i="3"/>
  <c r="B309" i="3"/>
  <c r="C768" i="3"/>
  <c r="A480" i="3"/>
  <c r="B407" i="3"/>
  <c r="F438" i="3"/>
  <c r="A506" i="3"/>
  <c r="C354" i="3"/>
  <c r="A431" i="3"/>
  <c r="E940" i="3"/>
  <c r="F363" i="3"/>
  <c r="A596" i="3"/>
  <c r="F465" i="3"/>
  <c r="A809" i="3"/>
  <c r="A258" i="3"/>
  <c r="F116" i="3"/>
  <c r="B386" i="3"/>
  <c r="B496" i="3"/>
  <c r="E353" i="3"/>
  <c r="C728" i="3"/>
  <c r="E78" i="3"/>
  <c r="B275" i="3"/>
  <c r="F274" i="3"/>
  <c r="B89" i="3"/>
  <c r="D107" i="3"/>
  <c r="A581" i="3"/>
  <c r="D41" i="3"/>
  <c r="B24" i="3"/>
  <c r="A418" i="3"/>
  <c r="B761" i="3"/>
  <c r="B87" i="3"/>
  <c r="D1075" i="3"/>
  <c r="E792" i="3"/>
  <c r="F211" i="3"/>
  <c r="B249" i="3"/>
  <c r="E1300" i="3"/>
  <c r="F495" i="3"/>
  <c r="B996" i="3"/>
  <c r="A14" i="3"/>
  <c r="E231" i="3"/>
  <c r="D1064" i="3"/>
  <c r="F1038" i="3"/>
  <c r="A534" i="3"/>
  <c r="D251" i="3"/>
  <c r="D263" i="3"/>
  <c r="B353" i="3"/>
  <c r="D616" i="3"/>
  <c r="A1004" i="3"/>
  <c r="B381" i="3"/>
  <c r="E440" i="3"/>
  <c r="E134" i="3"/>
  <c r="B574" i="3"/>
  <c r="E718" i="3"/>
  <c r="C200" i="3"/>
  <c r="C767" i="3"/>
  <c r="F561" i="3"/>
  <c r="E748" i="3"/>
  <c r="A42" i="3"/>
  <c r="A100" i="3"/>
  <c r="D670" i="3"/>
  <c r="D382" i="3"/>
  <c r="C217" i="3"/>
  <c r="F20" i="3"/>
  <c r="C345" i="3"/>
  <c r="B153" i="3"/>
  <c r="B550" i="3"/>
  <c r="E92" i="3"/>
  <c r="D449" i="3"/>
  <c r="B5" i="3"/>
  <c r="E338" i="3"/>
  <c r="D253" i="3"/>
  <c r="C427" i="3"/>
  <c r="A824" i="3"/>
  <c r="C40" i="3"/>
  <c r="C509" i="3"/>
  <c r="A26" i="3"/>
  <c r="D87" i="3"/>
  <c r="A378" i="3"/>
  <c r="D293" i="3"/>
  <c r="F171" i="3"/>
  <c r="D170" i="3"/>
  <c r="C721" i="3"/>
  <c r="A321" i="3"/>
  <c r="D199" i="3"/>
  <c r="E170" i="3"/>
  <c r="C994" i="3"/>
  <c r="A87" i="3"/>
  <c r="C41" i="3"/>
  <c r="D879" i="3"/>
  <c r="F380" i="3"/>
  <c r="E85" i="3"/>
  <c r="E182" i="3"/>
  <c r="C155" i="3"/>
  <c r="F114" i="3"/>
  <c r="F332" i="3"/>
  <c r="F539" i="3"/>
  <c r="B1389" i="3"/>
  <c r="B1092" i="3"/>
  <c r="F1332" i="3"/>
  <c r="A900" i="3"/>
  <c r="F205" i="3"/>
  <c r="D229" i="3"/>
  <c r="F412" i="3"/>
  <c r="E559" i="3"/>
  <c r="B877" i="3"/>
  <c r="E226" i="3"/>
  <c r="A486" i="3"/>
  <c r="B782" i="3"/>
  <c r="D592" i="3"/>
  <c r="C1208" i="3"/>
  <c r="B460" i="3"/>
  <c r="D552" i="3"/>
  <c r="F1220" i="3"/>
  <c r="F134" i="3"/>
  <c r="D698" i="3"/>
  <c r="A449" i="3"/>
  <c r="A655" i="3"/>
  <c r="B621" i="3"/>
  <c r="F65" i="3"/>
  <c r="D747" i="3"/>
  <c r="D358" i="3"/>
  <c r="A126" i="3"/>
  <c r="C321" i="3"/>
  <c r="D876" i="3"/>
  <c r="F251" i="3"/>
  <c r="D1229" i="3"/>
  <c r="C1422" i="3"/>
  <c r="D224" i="3"/>
  <c r="C119" i="3"/>
  <c r="B357" i="3"/>
  <c r="F1266" i="3"/>
  <c r="F219" i="3"/>
  <c r="E980" i="3"/>
  <c r="D291" i="3"/>
  <c r="D1236" i="3"/>
  <c r="C999" i="3"/>
  <c r="C212" i="3"/>
  <c r="C525" i="3"/>
  <c r="F63" i="3"/>
  <c r="C580" i="3"/>
  <c r="E1045" i="3"/>
  <c r="B1118" i="3"/>
  <c r="C341" i="3"/>
  <c r="F144" i="3"/>
  <c r="A678" i="3"/>
  <c r="B847" i="3"/>
  <c r="C487" i="3"/>
  <c r="F392" i="3"/>
  <c r="A468" i="3"/>
  <c r="B32" i="3"/>
  <c r="D247" i="3"/>
  <c r="B594" i="3"/>
  <c r="E205" i="3"/>
  <c r="A138" i="3"/>
  <c r="D787" i="3"/>
  <c r="E632" i="3"/>
  <c r="C799" i="3"/>
  <c r="C604" i="3"/>
  <c r="C306" i="3"/>
  <c r="B142" i="3"/>
  <c r="F481" i="3"/>
  <c r="A827" i="3"/>
  <c r="A173" i="3"/>
  <c r="F184" i="3"/>
  <c r="A226" i="3"/>
  <c r="D591" i="3"/>
  <c r="A701" i="3"/>
  <c r="E429" i="3"/>
  <c r="C943" i="3"/>
  <c r="E1095" i="3"/>
  <c r="B703" i="3"/>
  <c r="A304" i="3"/>
  <c r="B404" i="3"/>
  <c r="C258" i="3"/>
  <c r="B669" i="3"/>
  <c r="D30" i="3"/>
  <c r="C490" i="3"/>
  <c r="A164" i="3"/>
  <c r="F727" i="3"/>
  <c r="A185" i="3"/>
  <c r="B101" i="3"/>
  <c r="A375" i="3"/>
  <c r="A959" i="3"/>
  <c r="A47" i="3"/>
  <c r="E140" i="3"/>
  <c r="C304" i="3"/>
  <c r="E566" i="3"/>
  <c r="F402" i="3"/>
  <c r="A741" i="3"/>
  <c r="A908" i="3"/>
  <c r="E1395" i="3"/>
  <c r="B140" i="3"/>
  <c r="A635" i="3"/>
  <c r="C484" i="3"/>
  <c r="D335" i="3"/>
  <c r="E325" i="3"/>
  <c r="E174" i="3"/>
  <c r="B54" i="3"/>
  <c r="A137" i="3"/>
  <c r="C617" i="3"/>
  <c r="D54" i="3"/>
  <c r="F1010" i="3"/>
  <c r="D223" i="3"/>
  <c r="D289" i="3"/>
  <c r="F388" i="3"/>
  <c r="E91" i="3"/>
  <c r="F544" i="3"/>
  <c r="E463" i="3"/>
  <c r="D415" i="3"/>
  <c r="E124" i="3"/>
  <c r="F667" i="3"/>
  <c r="C827" i="3"/>
  <c r="D800" i="3"/>
  <c r="F337" i="3"/>
  <c r="E496" i="3"/>
  <c r="A43" i="3"/>
  <c r="F894" i="3"/>
  <c r="C355" i="3"/>
  <c r="F610" i="3"/>
  <c r="C866" i="3"/>
  <c r="A302" i="3"/>
  <c r="C8" i="3"/>
  <c r="F278" i="3"/>
  <c r="A298" i="3"/>
  <c r="D522" i="3"/>
  <c r="B489" i="3"/>
  <c r="C670" i="3"/>
  <c r="D834" i="3"/>
  <c r="F180" i="3"/>
  <c r="A159" i="3"/>
  <c r="D103" i="3"/>
  <c r="F496" i="3"/>
  <c r="D883" i="3"/>
  <c r="C491" i="3"/>
  <c r="F45" i="3"/>
  <c r="D784" i="3"/>
  <c r="E797" i="3"/>
  <c r="C783" i="3"/>
  <c r="B582" i="3"/>
  <c r="B377" i="3"/>
  <c r="A292" i="3"/>
  <c r="E67" i="3"/>
  <c r="D1217" i="3"/>
  <c r="A349" i="3"/>
  <c r="D749" i="3"/>
  <c r="C294" i="3"/>
  <c r="A878" i="3"/>
  <c r="D117" i="3"/>
  <c r="C204" i="3"/>
  <c r="F986" i="3"/>
  <c r="C447" i="3"/>
  <c r="F393" i="3"/>
  <c r="C401" i="3"/>
  <c r="E142" i="3"/>
  <c r="E233" i="3"/>
  <c r="A746" i="3"/>
  <c r="D10" i="3"/>
  <c r="B124" i="3"/>
  <c r="C924" i="3"/>
  <c r="A656" i="3"/>
  <c r="B181" i="3"/>
  <c r="B826" i="3"/>
  <c r="F4" i="3"/>
  <c r="D1359" i="3"/>
  <c r="F635" i="3"/>
  <c r="B508" i="3"/>
  <c r="C243" i="3"/>
  <c r="D462" i="3"/>
  <c r="B560" i="3"/>
  <c r="B806" i="3"/>
  <c r="A146" i="3"/>
  <c r="E510" i="3"/>
  <c r="E68" i="3"/>
  <c r="A140" i="3"/>
  <c r="D77" i="3"/>
  <c r="C425" i="3"/>
  <c r="E280" i="3"/>
  <c r="C61" i="3"/>
  <c r="F7" i="3"/>
  <c r="E1261" i="3"/>
  <c r="A338" i="3"/>
  <c r="D1100" i="3"/>
  <c r="B729" i="3"/>
  <c r="E15" i="3"/>
  <c r="F1291" i="3"/>
  <c r="A467" i="3"/>
  <c r="E281" i="3"/>
  <c r="E300" i="3"/>
  <c r="F500" i="3"/>
  <c r="C800" i="3"/>
  <c r="E21" i="3"/>
  <c r="D664" i="3"/>
  <c r="B1015" i="3"/>
  <c r="B367" i="3"/>
  <c r="F1288" i="3"/>
  <c r="E550" i="3"/>
  <c r="A417" i="3"/>
  <c r="A134" i="3"/>
  <c r="B362" i="3"/>
  <c r="B592" i="3"/>
  <c r="C222" i="3"/>
  <c r="D452" i="3"/>
  <c r="F571" i="3"/>
  <c r="C130" i="3"/>
  <c r="D182" i="3"/>
  <c r="E81" i="3"/>
  <c r="B264" i="3"/>
  <c r="A150" i="3"/>
  <c r="D406" i="3"/>
  <c r="D519" i="3"/>
  <c r="E874" i="3"/>
  <c r="D717" i="3"/>
  <c r="C1054" i="3"/>
  <c r="E183" i="3"/>
  <c r="F715" i="3"/>
  <c r="D371" i="3"/>
  <c r="A927" i="3"/>
  <c r="C279" i="3"/>
  <c r="F117" i="3"/>
  <c r="C424" i="3"/>
  <c r="B52" i="3"/>
  <c r="B9" i="3"/>
  <c r="E306" i="3"/>
  <c r="D235" i="3"/>
  <c r="F347" i="3"/>
  <c r="C1400" i="3"/>
  <c r="A493" i="3"/>
  <c r="F193" i="3"/>
  <c r="C86" i="3"/>
  <c r="D219" i="3"/>
  <c r="E254" i="3"/>
  <c r="A438" i="3"/>
  <c r="F6" i="3"/>
  <c r="E256" i="3"/>
  <c r="C549" i="3"/>
  <c r="A842" i="3"/>
  <c r="D174" i="3"/>
  <c r="B23" i="3"/>
  <c r="B417" i="3"/>
  <c r="C166" i="3"/>
  <c r="F62" i="3"/>
  <c r="E288" i="3"/>
  <c r="E74" i="3"/>
  <c r="A386" i="3"/>
  <c r="E478" i="3"/>
  <c r="B270" i="3"/>
  <c r="E1197" i="3"/>
  <c r="C57" i="3"/>
  <c r="F66" i="3"/>
  <c r="E323" i="3"/>
  <c r="A312" i="3"/>
  <c r="E504" i="3"/>
  <c r="A252" i="3"/>
  <c r="B805" i="3"/>
  <c r="A1399" i="3"/>
  <c r="B790" i="3"/>
  <c r="E535" i="3"/>
  <c r="E702" i="3"/>
  <c r="C69" i="3"/>
  <c r="E1211" i="3"/>
  <c r="E1108" i="3"/>
  <c r="A1114" i="3"/>
  <c r="F1371" i="3"/>
  <c r="D402" i="3"/>
  <c r="E539" i="3"/>
  <c r="B271" i="3"/>
  <c r="B339" i="3"/>
  <c r="A210" i="3"/>
  <c r="D858" i="3"/>
  <c r="A923" i="3"/>
  <c r="D216" i="3"/>
  <c r="B455" i="3"/>
  <c r="E1208" i="3"/>
  <c r="E480" i="3"/>
  <c r="C375" i="3"/>
  <c r="A1362" i="3"/>
  <c r="E587" i="3"/>
  <c r="C672" i="3"/>
  <c r="C42" i="3"/>
  <c r="A326" i="3"/>
  <c r="C1040" i="3"/>
  <c r="B60" i="3"/>
  <c r="A758" i="3"/>
  <c r="C331" i="3"/>
  <c r="D710" i="3"/>
  <c r="C410" i="3"/>
  <c r="F318" i="3"/>
  <c r="E401" i="3"/>
  <c r="C1333" i="3"/>
  <c r="F168" i="3"/>
  <c r="E573" i="3"/>
  <c r="F712" i="3"/>
  <c r="F870" i="3"/>
  <c r="B1325" i="3"/>
  <c r="A925" i="3"/>
  <c r="E450" i="3"/>
  <c r="C823" i="3"/>
  <c r="C699" i="3"/>
  <c r="B1392" i="3"/>
  <c r="F89" i="3"/>
  <c r="C540" i="3"/>
  <c r="C230" i="3"/>
  <c r="F905" i="3"/>
  <c r="D212" i="3"/>
  <c r="E137" i="3"/>
  <c r="B562" i="3"/>
  <c r="B503" i="3"/>
  <c r="A1251" i="3"/>
  <c r="A441" i="3"/>
  <c r="B531" i="3"/>
  <c r="C319" i="3"/>
  <c r="F951" i="3"/>
  <c r="F507" i="3"/>
  <c r="D237" i="3"/>
  <c r="D161" i="3"/>
  <c r="F981" i="3"/>
  <c r="F421" i="3"/>
  <c r="D390" i="3"/>
  <c r="A734" i="3"/>
  <c r="A40" i="3"/>
  <c r="C79" i="3"/>
  <c r="C625" i="3"/>
  <c r="C233" i="3"/>
  <c r="E616" i="3"/>
  <c r="C245" i="3"/>
  <c r="E248" i="3"/>
  <c r="D1101" i="3"/>
  <c r="F227" i="3"/>
  <c r="B306" i="3"/>
  <c r="D635" i="3"/>
  <c r="A369" i="3"/>
  <c r="F201" i="3"/>
  <c r="B420" i="3"/>
  <c r="C913" i="3"/>
  <c r="F1121" i="3"/>
  <c r="B71" i="3"/>
  <c r="E392" i="3"/>
  <c r="D904" i="3"/>
  <c r="E612" i="3"/>
  <c r="A180" i="3"/>
  <c r="D138" i="3"/>
  <c r="E294" i="3"/>
  <c r="E388" i="3"/>
  <c r="C532" i="3"/>
  <c r="A1157" i="3"/>
  <c r="E668" i="3"/>
  <c r="F1257" i="3"/>
  <c r="D441" i="3"/>
  <c r="B128" i="3"/>
  <c r="C1424" i="3"/>
  <c r="C914" i="3"/>
  <c r="B422" i="3"/>
  <c r="D188" i="3"/>
  <c r="E238" i="3"/>
  <c r="A243" i="3"/>
  <c r="A600" i="3"/>
  <c r="D411" i="3"/>
  <c r="D197" i="3"/>
  <c r="C579" i="3"/>
  <c r="C58" i="3"/>
  <c r="C503" i="3"/>
  <c r="F355" i="3"/>
  <c r="C55" i="3"/>
  <c r="F1414" i="3"/>
  <c r="A862" i="3"/>
  <c r="F283" i="3"/>
  <c r="A429" i="3"/>
  <c r="A224" i="3"/>
  <c r="F139" i="3"/>
  <c r="E387" i="3"/>
  <c r="C488" i="3"/>
  <c r="C324" i="3"/>
  <c r="D31" i="3"/>
  <c r="F182" i="3"/>
  <c r="E667" i="3"/>
  <c r="B725" i="3"/>
  <c r="F570" i="3"/>
  <c r="A379" i="3"/>
  <c r="B1155" i="3"/>
  <c r="C349" i="3"/>
  <c r="A570" i="3"/>
  <c r="E522" i="3"/>
  <c r="E33" i="3"/>
  <c r="D236" i="3"/>
  <c r="C232" i="3"/>
  <c r="D1093" i="3"/>
  <c r="B302" i="3"/>
  <c r="D1403" i="3"/>
  <c r="F1299" i="3"/>
  <c r="C71" i="3"/>
  <c r="C275" i="3"/>
  <c r="E992" i="3"/>
  <c r="D562" i="3"/>
  <c r="C536" i="3"/>
  <c r="B114" i="3"/>
  <c r="B890" i="3"/>
  <c r="A88" i="3"/>
  <c r="C234" i="3"/>
  <c r="D378" i="3"/>
  <c r="C1205" i="3"/>
  <c r="E448" i="3"/>
  <c r="C445" i="3"/>
  <c r="A169" i="3"/>
  <c r="A334" i="3"/>
  <c r="C868" i="3"/>
  <c r="D239" i="3"/>
  <c r="B509" i="3"/>
  <c r="E990" i="3"/>
  <c r="F60" i="3"/>
  <c r="A403" i="3"/>
  <c r="C877" i="3"/>
  <c r="B280" i="3"/>
  <c r="C54" i="3"/>
  <c r="E411" i="3"/>
  <c r="D418" i="3"/>
  <c r="A124" i="3"/>
  <c r="B524" i="3"/>
  <c r="C173" i="3"/>
  <c r="C601" i="3"/>
  <c r="A113" i="3"/>
  <c r="A69" i="3"/>
  <c r="F432" i="3"/>
  <c r="D72" i="3"/>
  <c r="B143" i="3"/>
  <c r="D790" i="3"/>
  <c r="C433" i="3"/>
  <c r="F473" i="3"/>
  <c r="B147" i="3"/>
  <c r="D471" i="3"/>
  <c r="E210" i="3"/>
  <c r="F238" i="3"/>
  <c r="F521" i="3"/>
  <c r="A139" i="3"/>
  <c r="A1272" i="3"/>
  <c r="B609" i="3"/>
  <c r="B107" i="3"/>
  <c r="D261" i="3"/>
  <c r="B94" i="3"/>
  <c r="E526" i="3"/>
  <c r="F263" i="3"/>
  <c r="F1039" i="3"/>
  <c r="D404" i="3"/>
  <c r="E327" i="3"/>
  <c r="D407" i="3"/>
  <c r="A509" i="3"/>
  <c r="E12" i="3"/>
  <c r="E1173" i="3"/>
  <c r="E570" i="3"/>
  <c r="C928" i="3"/>
  <c r="B726" i="3"/>
  <c r="D131" i="3"/>
  <c r="E62" i="3"/>
  <c r="C839" i="3"/>
  <c r="E243" i="3"/>
  <c r="C572" i="3"/>
  <c r="B514" i="3"/>
  <c r="E69" i="3"/>
  <c r="C110" i="3"/>
  <c r="A384" i="3"/>
  <c r="A129" i="3"/>
  <c r="A365" i="3"/>
  <c r="B162" i="3"/>
  <c r="F321" i="3"/>
  <c r="E444" i="3"/>
  <c r="E119" i="3"/>
  <c r="A550" i="3"/>
  <c r="C895" i="3"/>
  <c r="B196" i="3"/>
  <c r="C156" i="3"/>
  <c r="B203" i="3"/>
  <c r="B525" i="3"/>
  <c r="A156" i="3"/>
  <c r="E615" i="3"/>
  <c r="F595" i="3"/>
  <c r="A504" i="3"/>
  <c r="B156" i="3"/>
  <c r="E311" i="3"/>
  <c r="A485" i="3"/>
  <c r="E131" i="3"/>
  <c r="F336" i="3"/>
  <c r="A1072" i="3"/>
  <c r="B265" i="3"/>
  <c r="A359" i="3"/>
  <c r="A308" i="3"/>
  <c r="E690" i="3"/>
  <c r="D325" i="3"/>
  <c r="F170" i="3"/>
  <c r="D911" i="3"/>
  <c r="D439" i="3"/>
  <c r="C350" i="3"/>
  <c r="D150" i="3"/>
  <c r="A108" i="3"/>
  <c r="E150" i="3"/>
  <c r="C59" i="3"/>
  <c r="E129" i="3"/>
  <c r="E189" i="3"/>
  <c r="F835" i="3"/>
  <c r="F33" i="3"/>
  <c r="C5" i="3"/>
  <c r="F214" i="3"/>
  <c r="A149" i="3"/>
  <c r="A70" i="3"/>
  <c r="F243" i="3"/>
  <c r="D297" i="3"/>
  <c r="A71" i="3"/>
  <c r="C280" i="3"/>
  <c r="F19" i="3"/>
  <c r="E99" i="3"/>
  <c r="D469" i="3"/>
  <c r="E490" i="3"/>
  <c r="D937" i="3"/>
  <c r="A830" i="3"/>
  <c r="A141" i="3"/>
  <c r="F1110" i="3"/>
  <c r="B348" i="3"/>
  <c r="B40" i="3"/>
  <c r="A248" i="3"/>
  <c r="D1000" i="3"/>
  <c r="E191" i="3"/>
  <c r="D417" i="3"/>
  <c r="E141" i="3"/>
  <c r="E1026" i="3"/>
  <c r="D369" i="3"/>
  <c r="E268" i="3"/>
  <c r="C432" i="3"/>
  <c r="F652" i="3"/>
  <c r="C84" i="3"/>
  <c r="C39" i="3"/>
  <c r="C208" i="3"/>
  <c r="A73" i="3"/>
  <c r="B293" i="3"/>
  <c r="D244" i="3"/>
  <c r="A93" i="3"/>
  <c r="A585" i="3"/>
  <c r="C1167" i="3"/>
  <c r="C13" i="3"/>
  <c r="D334" i="3"/>
  <c r="D175" i="3"/>
  <c r="B656" i="3"/>
  <c r="A155" i="3"/>
  <c r="E906" i="3"/>
  <c r="D919" i="3"/>
  <c r="F126" i="3"/>
  <c r="F208" i="3"/>
  <c r="C254" i="3"/>
  <c r="B33" i="3"/>
  <c r="A187" i="3"/>
  <c r="C99" i="3"/>
  <c r="B96" i="3"/>
  <c r="F25" i="3"/>
  <c r="D82" i="3"/>
  <c r="B75" i="3"/>
  <c r="C498" i="3"/>
  <c r="B403" i="3"/>
  <c r="D546" i="3"/>
  <c r="E72" i="3"/>
  <c r="B62" i="3"/>
  <c r="B532" i="3"/>
  <c r="F24" i="3"/>
  <c r="E50" i="3"/>
  <c r="D513" i="3"/>
  <c r="D395" i="3"/>
  <c r="F78" i="3"/>
  <c r="F11" i="3"/>
  <c r="C10" i="3"/>
  <c r="B1022" i="3"/>
  <c r="E106" i="3"/>
  <c r="C317" i="3"/>
  <c r="E291" i="3"/>
  <c r="E1008" i="3"/>
  <c r="A980" i="3"/>
  <c r="E688" i="3"/>
  <c r="D742" i="3"/>
  <c r="B449" i="3"/>
  <c r="B453" i="3"/>
  <c r="F422" i="3"/>
  <c r="B102" i="3"/>
  <c r="D365" i="3"/>
  <c r="B111" i="3"/>
  <c r="F467" i="3"/>
  <c r="C1024" i="3"/>
  <c r="B572" i="3"/>
  <c r="A1021" i="3"/>
  <c r="E315" i="3"/>
  <c r="D553" i="3"/>
  <c r="F80" i="3"/>
  <c r="C227" i="3"/>
  <c r="F760" i="3"/>
  <c r="F599" i="3"/>
  <c r="D152" i="3"/>
  <c r="E145" i="3"/>
  <c r="E262" i="3"/>
  <c r="D169" i="3"/>
  <c r="F225" i="3"/>
  <c r="F671" i="3"/>
  <c r="C158" i="3"/>
  <c r="E161" i="3"/>
  <c r="B236" i="3"/>
  <c r="A249" i="3"/>
  <c r="D254" i="3"/>
  <c r="A257" i="3"/>
  <c r="B425" i="3"/>
  <c r="A456" i="3"/>
  <c r="C836" i="3"/>
  <c r="F697" i="3"/>
  <c r="D6" i="3"/>
  <c r="C344" i="3"/>
  <c r="F73" i="3"/>
  <c r="F220" i="3"/>
  <c r="D259" i="3"/>
  <c r="D822" i="3"/>
  <c r="A855" i="3"/>
  <c r="A1170" i="3"/>
  <c r="B598" i="3"/>
  <c r="A565" i="3"/>
  <c r="B547" i="3"/>
  <c r="E237" i="3"/>
  <c r="F209" i="3"/>
  <c r="D34" i="3"/>
  <c r="E181" i="3"/>
  <c r="F41" i="3"/>
  <c r="B866" i="3"/>
  <c r="E199" i="3"/>
  <c r="D1167" i="3"/>
  <c r="C100" i="3"/>
  <c r="E795" i="3"/>
  <c r="E1193" i="3"/>
  <c r="E1029" i="3"/>
  <c r="A427" i="3"/>
  <c r="E317" i="3"/>
  <c r="B47" i="3"/>
  <c r="F323" i="3"/>
  <c r="D108" i="3"/>
  <c r="A238" i="3"/>
  <c r="D5" i="3"/>
  <c r="F588" i="3"/>
  <c r="D807" i="3"/>
  <c r="E1032" i="3"/>
  <c r="D76" i="3"/>
  <c r="E73" i="3"/>
  <c r="A95" i="3"/>
  <c r="F560" i="3"/>
  <c r="B160" i="3"/>
  <c r="A1307" i="3"/>
  <c r="E959" i="3"/>
  <c r="B502" i="3"/>
  <c r="E628" i="3"/>
  <c r="B354" i="3"/>
  <c r="C542" i="3"/>
  <c r="C335" i="3"/>
  <c r="B812" i="3"/>
  <c r="F542" i="3"/>
  <c r="D435" i="3"/>
  <c r="E5" i="3"/>
  <c r="F531" i="3"/>
  <c r="B1285" i="3"/>
  <c r="A189" i="3"/>
  <c r="E135" i="3"/>
  <c r="D296" i="3"/>
  <c r="D419" i="3"/>
  <c r="B638" i="3"/>
  <c r="D276" i="3"/>
  <c r="F244" i="3"/>
  <c r="A117" i="3"/>
  <c r="C1198" i="3"/>
  <c r="E565" i="3"/>
  <c r="E416" i="3"/>
  <c r="B699" i="3"/>
  <c r="A1190" i="3"/>
  <c r="D306" i="3"/>
  <c r="D39" i="3"/>
  <c r="A367" i="3"/>
  <c r="E187" i="3"/>
  <c r="A31" i="3"/>
  <c r="D1128" i="3"/>
  <c r="F194" i="3"/>
  <c r="B719" i="3"/>
  <c r="C33" i="3"/>
  <c r="E103" i="3"/>
  <c r="E168" i="3"/>
  <c r="D486" i="3"/>
  <c r="D685" i="3"/>
  <c r="F396" i="3"/>
  <c r="E821" i="3"/>
  <c r="F649" i="3"/>
  <c r="C459" i="3"/>
  <c r="B177" i="3"/>
  <c r="B243" i="3"/>
  <c r="C329" i="3"/>
  <c r="B74" i="3"/>
  <c r="D51" i="3"/>
  <c r="C148" i="3"/>
  <c r="C203" i="3"/>
  <c r="C209" i="3"/>
  <c r="A60" i="3"/>
  <c r="D1061" i="3"/>
  <c r="E63" i="3"/>
  <c r="E22" i="3"/>
  <c r="E54" i="3"/>
  <c r="B1338" i="3"/>
  <c r="B84" i="3"/>
  <c r="D154" i="3"/>
  <c r="E194" i="3"/>
  <c r="A513" i="3"/>
  <c r="D234" i="3"/>
  <c r="D56" i="3"/>
  <c r="D429" i="3"/>
  <c r="E216" i="3"/>
  <c r="C1010" i="3"/>
  <c r="F153" i="3"/>
  <c r="D536" i="3"/>
  <c r="A317" i="3"/>
  <c r="C149" i="3"/>
  <c r="F210" i="3"/>
  <c r="C193" i="3"/>
  <c r="B803" i="3"/>
  <c r="F35" i="3"/>
  <c r="F76" i="3"/>
  <c r="E271" i="3"/>
  <c r="E461" i="3"/>
  <c r="B799" i="3"/>
  <c r="A62" i="3"/>
  <c r="B781" i="3"/>
  <c r="F428" i="3"/>
  <c r="D264" i="3"/>
  <c r="B217" i="3"/>
  <c r="D140" i="3"/>
  <c r="E973" i="3"/>
  <c r="F178" i="3"/>
  <c r="C351" i="3"/>
  <c r="E75" i="3"/>
  <c r="C378" i="3"/>
  <c r="B432" i="3"/>
  <c r="A214" i="3"/>
  <c r="C274" i="3"/>
  <c r="F356" i="3"/>
  <c r="C94" i="3"/>
  <c r="B437" i="3"/>
  <c r="D265" i="3"/>
  <c r="F471" i="3"/>
  <c r="B90" i="3"/>
  <c r="C70" i="3"/>
  <c r="F409" i="3"/>
  <c r="C112" i="3"/>
  <c r="F439" i="3"/>
  <c r="C93" i="3"/>
  <c r="B112" i="3"/>
  <c r="F38" i="3"/>
  <c r="C363" i="3"/>
  <c r="D416" i="3"/>
  <c r="D156" i="3"/>
  <c r="C551" i="3"/>
  <c r="C423" i="3"/>
  <c r="E193" i="3"/>
  <c r="C77" i="3"/>
  <c r="F335" i="3"/>
  <c r="C265" i="3"/>
  <c r="D194" i="3"/>
  <c r="D337" i="3"/>
  <c r="E427" i="3"/>
  <c r="B136" i="3"/>
  <c r="E296" i="3"/>
  <c r="C195" i="3"/>
  <c r="D1140" i="3"/>
  <c r="D916" i="3"/>
  <c r="E981" i="3"/>
  <c r="E290" i="3"/>
  <c r="B93" i="3"/>
  <c r="C26" i="3"/>
  <c r="D323" i="3"/>
  <c r="D351" i="3"/>
  <c r="D147" i="3"/>
  <c r="A59" i="3"/>
  <c r="C157" i="3"/>
  <c r="D29" i="3"/>
  <c r="C250" i="3"/>
  <c r="B643" i="3"/>
  <c r="A111" i="3"/>
  <c r="F594" i="3"/>
  <c r="C124" i="3"/>
  <c r="A76" i="3"/>
  <c r="E117" i="3"/>
  <c r="E96" i="3"/>
  <c r="B120" i="3"/>
  <c r="E215" i="3"/>
  <c r="F158" i="3"/>
  <c r="A48" i="3"/>
  <c r="F136" i="3"/>
  <c r="F386" i="3"/>
  <c r="C218" i="3"/>
  <c r="E84" i="3"/>
  <c r="D963" i="3"/>
  <c r="E36" i="3"/>
  <c r="B36" i="3"/>
  <c r="B1123" i="3"/>
  <c r="E259" i="3"/>
  <c r="C165" i="3"/>
  <c r="F277" i="3"/>
  <c r="F233" i="3"/>
  <c r="C736" i="3"/>
  <c r="F298" i="3"/>
  <c r="F223" i="3"/>
  <c r="B406" i="3"/>
  <c r="E122" i="3"/>
  <c r="F173" i="3"/>
  <c r="D257" i="3"/>
  <c r="C986" i="3"/>
  <c r="A739" i="3"/>
  <c r="F605" i="3"/>
  <c r="E258" i="3"/>
  <c r="D266" i="3"/>
  <c r="D274" i="3"/>
  <c r="B500" i="3"/>
  <c r="F95" i="3"/>
  <c r="D59" i="3"/>
  <c r="E341" i="3"/>
  <c r="D42" i="3"/>
  <c r="F46" i="3"/>
  <c r="D57" i="3"/>
  <c r="A251" i="3"/>
  <c r="E83" i="3"/>
  <c r="D243" i="3"/>
  <c r="C529" i="3"/>
  <c r="A481" i="3"/>
  <c r="C147" i="3"/>
  <c r="E398" i="3"/>
  <c r="A114" i="3"/>
  <c r="E879" i="3"/>
  <c r="F559" i="3"/>
  <c r="F1096" i="3"/>
  <c r="B61" i="3"/>
  <c r="B282" i="3"/>
  <c r="B464" i="3"/>
  <c r="C78" i="3"/>
  <c r="B1371" i="3"/>
  <c r="F305" i="3"/>
  <c r="D281" i="3"/>
  <c r="A750" i="3"/>
  <c r="F145" i="3"/>
  <c r="E192" i="3"/>
  <c r="E307" i="3"/>
  <c r="D95" i="3"/>
  <c r="B230" i="3"/>
  <c r="F97" i="3"/>
  <c r="B72" i="3"/>
  <c r="F1225" i="3"/>
  <c r="F775" i="3"/>
  <c r="C393" i="3"/>
  <c r="E838" i="3"/>
  <c r="E409" i="3"/>
  <c r="E571" i="3"/>
  <c r="E155" i="3"/>
  <c r="A1058" i="3"/>
  <c r="B320" i="3"/>
  <c r="C403" i="3"/>
  <c r="F319" i="3"/>
  <c r="E14" i="3"/>
  <c r="E455" i="3"/>
  <c r="D73" i="3"/>
  <c r="D18" i="3"/>
  <c r="F747" i="3"/>
  <c r="D314" i="3"/>
  <c r="F152" i="3"/>
  <c r="B164" i="3"/>
  <c r="C194" i="3"/>
  <c r="B76" i="3"/>
  <c r="C472" i="3"/>
  <c r="F179" i="3"/>
  <c r="F16" i="3"/>
  <c r="A32" i="3"/>
  <c r="B28" i="3"/>
  <c r="A283" i="3"/>
  <c r="C36" i="3"/>
  <c r="F192" i="3"/>
  <c r="C135" i="3"/>
  <c r="D65" i="3"/>
  <c r="F167" i="3"/>
  <c r="E19" i="3"/>
  <c r="E165" i="3"/>
  <c r="B58" i="3"/>
  <c r="F67" i="3"/>
  <c r="D408" i="3"/>
  <c r="B91" i="3"/>
  <c r="E109" i="3"/>
  <c r="F379" i="3"/>
  <c r="C76" i="3"/>
  <c r="A158" i="3"/>
  <c r="E982" i="3"/>
  <c r="A505" i="3"/>
  <c r="C179" i="3"/>
  <c r="E163" i="3"/>
  <c r="A92" i="3"/>
  <c r="E442" i="3"/>
  <c r="B1039" i="3"/>
  <c r="B183" i="3"/>
  <c r="F1053" i="3"/>
  <c r="B527" i="3"/>
  <c r="F264" i="3"/>
  <c r="F160" i="3"/>
  <c r="D860" i="3"/>
  <c r="E28" i="3"/>
  <c r="D301" i="3"/>
  <c r="B393" i="3"/>
  <c r="E38" i="3"/>
  <c r="E61" i="3"/>
  <c r="A11" i="3"/>
  <c r="E379" i="3"/>
  <c r="C12" i="3"/>
  <c r="D75" i="3"/>
  <c r="F29" i="3"/>
  <c r="V18" i="8" s="1"/>
  <c r="Y18" i="8" s="1"/>
  <c r="B221" i="3"/>
  <c r="B497" i="3"/>
  <c r="D308" i="3"/>
  <c r="E88" i="3"/>
  <c r="E441" i="3"/>
  <c r="A236" i="3"/>
  <c r="B82" i="3"/>
  <c r="C273" i="3"/>
  <c r="A327" i="3"/>
  <c r="E51" i="3"/>
  <c r="C405" i="3"/>
  <c r="B63" i="3"/>
  <c r="B260" i="3"/>
  <c r="F174" i="3"/>
  <c r="A396" i="3"/>
  <c r="F463" i="3"/>
  <c r="B900" i="3"/>
  <c r="F436" i="3"/>
  <c r="E167" i="3"/>
  <c r="F164" i="3"/>
  <c r="C389" i="3"/>
  <c r="F410" i="3"/>
  <c r="E310" i="3"/>
  <c r="E518" i="3"/>
  <c r="E454" i="3"/>
  <c r="E394" i="3"/>
  <c r="D453" i="3"/>
  <c r="B334" i="3"/>
  <c r="A303" i="3"/>
  <c r="E590" i="3"/>
  <c r="F122" i="3"/>
  <c r="F50" i="3"/>
  <c r="C267" i="3"/>
  <c r="E8" i="3"/>
  <c r="A221" i="3"/>
  <c r="F47" i="3"/>
  <c r="C17" i="3"/>
  <c r="D115" i="3"/>
  <c r="A22" i="3"/>
  <c r="F31" i="3"/>
  <c r="F12" i="3"/>
  <c r="Z27" i="8" s="1"/>
  <c r="AE27" i="8" s="1"/>
  <c r="E158" i="3"/>
  <c r="D287" i="3"/>
  <c r="E10" i="3"/>
  <c r="E266" i="3"/>
  <c r="F270" i="3"/>
  <c r="B49" i="3"/>
  <c r="C259" i="3"/>
  <c r="D215" i="3"/>
  <c r="D538" i="3"/>
  <c r="D828" i="3"/>
  <c r="D709" i="3"/>
  <c r="D28" i="3"/>
  <c r="F151" i="3"/>
  <c r="D178" i="3"/>
  <c r="D346" i="3"/>
  <c r="B242" i="3"/>
  <c r="C24" i="3"/>
  <c r="E55" i="3"/>
  <c r="E366" i="3"/>
  <c r="A316" i="3"/>
  <c r="A348" i="3"/>
  <c r="E27" i="3"/>
  <c r="B372" i="3"/>
  <c r="F18" i="3"/>
  <c r="B65" i="3"/>
  <c r="B518" i="3"/>
  <c r="E969" i="3"/>
  <c r="F1036" i="3"/>
  <c r="B486" i="3"/>
  <c r="E133" i="3"/>
  <c r="F269" i="3"/>
  <c r="C106" i="3"/>
  <c r="F86" i="3"/>
  <c r="C584" i="3"/>
  <c r="F255" i="3"/>
  <c r="A12" i="3"/>
  <c r="E34" i="3"/>
  <c r="A592" i="3"/>
  <c r="E180" i="3"/>
  <c r="E100" i="3"/>
  <c r="A29" i="3"/>
  <c r="A136" i="3"/>
  <c r="A341" i="3"/>
  <c r="E115" i="3"/>
  <c r="D360" i="3"/>
  <c r="C35" i="3"/>
  <c r="C263" i="3"/>
  <c r="D430" i="3"/>
  <c r="D12" i="3"/>
  <c r="D343" i="3"/>
  <c r="A44" i="3"/>
  <c r="E358" i="3"/>
  <c r="C648" i="3"/>
  <c r="F230" i="3"/>
  <c r="D488" i="3"/>
  <c r="E234" i="3"/>
  <c r="C857" i="3"/>
  <c r="A489" i="3"/>
  <c r="F348" i="3"/>
  <c r="C14" i="3"/>
  <c r="B352" i="3"/>
  <c r="C150" i="3"/>
  <c r="E59" i="3"/>
  <c r="F138" i="3"/>
  <c r="E482" i="3"/>
  <c r="C56" i="3"/>
  <c r="E706" i="3"/>
  <c r="E152" i="3"/>
  <c r="F302" i="3"/>
  <c r="E52" i="3"/>
  <c r="F661" i="3"/>
  <c r="F314" i="3"/>
  <c r="C118" i="3"/>
  <c r="B783" i="3"/>
  <c r="E812" i="3"/>
  <c r="E195" i="3"/>
  <c r="A1265" i="3"/>
  <c r="D17" i="3"/>
  <c r="D255" i="3"/>
  <c r="D166" i="3"/>
  <c r="F83" i="3"/>
  <c r="C46" i="3"/>
  <c r="C125" i="3"/>
  <c r="A89" i="3"/>
  <c r="C787" i="3"/>
  <c r="A318" i="3"/>
  <c r="D129" i="3"/>
  <c r="A347" i="3"/>
  <c r="D940" i="3"/>
  <c r="D1147" i="3"/>
  <c r="C658" i="3"/>
  <c r="F340" i="3"/>
  <c r="E313" i="3"/>
  <c r="F261" i="3"/>
  <c r="E16" i="3"/>
  <c r="A527" i="3"/>
  <c r="A497" i="3"/>
  <c r="F54" i="3"/>
  <c r="F68" i="3"/>
  <c r="A175" i="3"/>
  <c r="C161" i="3"/>
  <c r="E236" i="3"/>
  <c r="D660" i="3"/>
  <c r="F431" i="3"/>
  <c r="D132" i="3"/>
  <c r="B272" i="3"/>
  <c r="B549" i="3"/>
  <c r="A50" i="3"/>
  <c r="B67" i="3"/>
  <c r="D25" i="3"/>
  <c r="A884" i="3"/>
  <c r="B691" i="3"/>
  <c r="C37" i="3"/>
  <c r="F61" i="3"/>
  <c r="C416" i="3"/>
  <c r="D1335" i="3"/>
  <c r="F127" i="3"/>
  <c r="F64" i="3"/>
  <c r="F30" i="3"/>
  <c r="C105" i="3"/>
  <c r="B43" i="3"/>
  <c r="A278" i="3"/>
  <c r="D189" i="3"/>
  <c r="F242" i="3"/>
  <c r="A135" i="3"/>
  <c r="C80" i="3"/>
  <c r="C142" i="3"/>
  <c r="D202" i="3"/>
  <c r="E525" i="3"/>
  <c r="D386" i="3"/>
  <c r="F147" i="3"/>
  <c r="D146" i="3"/>
  <c r="F204" i="3"/>
  <c r="B108" i="3"/>
  <c r="B690" i="3"/>
  <c r="D24" i="3"/>
  <c r="E102" i="3"/>
  <c r="C21" i="3"/>
  <c r="A116" i="3"/>
  <c r="B240" i="3"/>
  <c r="B463" i="3"/>
  <c r="F72" i="3"/>
  <c r="A291" i="3"/>
  <c r="E127" i="3"/>
  <c r="B478" i="3"/>
  <c r="C282" i="3"/>
  <c r="E464" i="3"/>
  <c r="E279" i="3"/>
  <c r="E94" i="3"/>
  <c r="B48" i="3"/>
  <c r="A343" i="3"/>
  <c r="E149" i="3"/>
  <c r="D3" i="3"/>
  <c r="E355" i="3"/>
  <c r="D391" i="3"/>
  <c r="F287" i="3"/>
  <c r="F338" i="3"/>
  <c r="A277" i="3"/>
  <c r="D231" i="3"/>
  <c r="C121" i="3"/>
  <c r="C31" i="3"/>
  <c r="B20" i="3"/>
  <c r="F203" i="3"/>
  <c r="A1026" i="3"/>
  <c r="E66" i="3"/>
  <c r="C374" i="3"/>
  <c r="E225" i="3"/>
  <c r="B504" i="3"/>
  <c r="A190" i="3"/>
  <c r="E383" i="3"/>
  <c r="E29" i="3"/>
  <c r="D381" i="3"/>
  <c r="E224" i="3"/>
  <c r="F131" i="3"/>
  <c r="C281" i="3"/>
  <c r="C396" i="3"/>
  <c r="B215" i="3"/>
  <c r="E319" i="3"/>
  <c r="E186" i="3"/>
  <c r="D245" i="3"/>
  <c r="B481" i="3"/>
  <c r="B492" i="3"/>
  <c r="B172" i="3"/>
  <c r="F315" i="3"/>
  <c r="C270" i="3"/>
  <c r="C271" i="3"/>
  <c r="C167" i="3"/>
  <c r="D125" i="3"/>
  <c r="E110" i="3"/>
  <c r="E312" i="3"/>
  <c r="A464" i="3"/>
  <c r="E347" i="3"/>
  <c r="E731" i="3"/>
  <c r="D91" i="3"/>
  <c r="A123" i="3"/>
  <c r="A247" i="3"/>
  <c r="E156" i="3"/>
  <c r="A45" i="3"/>
  <c r="A24" i="3"/>
  <c r="E93" i="3"/>
  <c r="C213" i="3"/>
  <c r="E488" i="3"/>
  <c r="F957" i="3"/>
  <c r="C292" i="3"/>
  <c r="F656" i="3"/>
  <c r="F59" i="3"/>
  <c r="D361" i="3"/>
  <c r="B411" i="3"/>
  <c r="B44" i="3"/>
  <c r="E368" i="3"/>
  <c r="C163" i="3"/>
  <c r="B104" i="3"/>
  <c r="D173" i="3"/>
  <c r="F333" i="3"/>
  <c r="E44" i="3"/>
  <c r="C120" i="3"/>
  <c r="B288" i="3"/>
  <c r="A4" i="3"/>
  <c r="B80" i="3"/>
  <c r="F368" i="3"/>
  <c r="E151" i="3"/>
  <c r="E260" i="3"/>
  <c r="A388" i="3"/>
  <c r="A423" i="3"/>
  <c r="C216" i="3"/>
  <c r="E476" i="3"/>
  <c r="E289" i="3"/>
  <c r="A81" i="3"/>
  <c r="C29" i="3"/>
  <c r="B219" i="3"/>
  <c r="B92" i="3"/>
  <c r="A54" i="3"/>
  <c r="E138" i="3"/>
  <c r="C32" i="3"/>
  <c r="B2" i="3"/>
  <c r="F293" i="3"/>
  <c r="B224" i="3"/>
  <c r="E214" i="3"/>
  <c r="A471" i="3"/>
  <c r="D7" i="3"/>
  <c r="D193" i="3"/>
  <c r="E169" i="3"/>
  <c r="E393" i="3"/>
  <c r="F14" i="3"/>
  <c r="C2" i="3"/>
  <c r="A289" i="3"/>
  <c r="A77" i="3"/>
  <c r="B57" i="3"/>
  <c r="C11" i="3"/>
  <c r="C44" i="3"/>
  <c r="F21" i="3"/>
  <c r="A21" i="3"/>
  <c r="A28" i="3"/>
  <c r="C223" i="3"/>
  <c r="C347" i="3"/>
  <c r="A3" i="3"/>
  <c r="E178" i="3"/>
  <c r="D48" i="3"/>
  <c r="F271" i="3"/>
  <c r="A578" i="3"/>
  <c r="B179" i="3"/>
  <c r="A179" i="3"/>
  <c r="F307" i="3"/>
  <c r="E360" i="3"/>
  <c r="E343" i="3"/>
  <c r="A132" i="3"/>
  <c r="C352" i="3"/>
  <c r="F27" i="3"/>
  <c r="A165" i="3"/>
  <c r="C20" i="3"/>
  <c r="D258" i="3"/>
  <c r="A260" i="3"/>
  <c r="E676" i="3"/>
  <c r="E213" i="3"/>
  <c r="A67" i="3"/>
  <c r="A166" i="3"/>
  <c r="B601" i="3"/>
  <c r="F240" i="3"/>
  <c r="F75" i="3"/>
  <c r="C122" i="3"/>
  <c r="C386" i="3"/>
  <c r="F149" i="3"/>
  <c r="E276" i="3"/>
  <c r="F358" i="3"/>
  <c r="B130" i="3"/>
  <c r="A216" i="3"/>
  <c r="A313" i="3"/>
  <c r="B10" i="3"/>
  <c r="A152" i="3"/>
  <c r="A271" i="3"/>
  <c r="E544" i="3"/>
  <c r="F476" i="3"/>
  <c r="D58" i="3"/>
  <c r="D312" i="3"/>
  <c r="C63" i="3"/>
  <c r="E265" i="3"/>
  <c r="D49" i="3"/>
  <c r="B185" i="3"/>
  <c r="B115" i="3"/>
  <c r="B132" i="3"/>
  <c r="F156" i="3"/>
  <c r="D89" i="3"/>
  <c r="B73" i="3"/>
  <c r="A539" i="3"/>
  <c r="A208" i="3"/>
  <c r="C90" i="3"/>
  <c r="E148" i="3"/>
  <c r="B720" i="3"/>
  <c r="A51" i="3"/>
  <c r="C1090" i="3"/>
  <c r="C388" i="3"/>
  <c r="B206" i="3"/>
  <c r="B210" i="3"/>
  <c r="F99" i="3"/>
  <c r="F102" i="3"/>
  <c r="A17" i="3"/>
  <c r="C81" i="3"/>
  <c r="A280" i="3"/>
  <c r="D84" i="3"/>
  <c r="E113" i="3"/>
  <c r="F427" i="3"/>
  <c r="E2" i="3"/>
  <c r="B121" i="3"/>
  <c r="E86" i="3"/>
  <c r="E502" i="3"/>
  <c r="D524" i="3"/>
  <c r="B18" i="3"/>
  <c r="B276" i="3"/>
  <c r="E101" i="3"/>
  <c r="E284" i="3"/>
  <c r="D13" i="3"/>
  <c r="E369" i="3"/>
  <c r="C343" i="3"/>
  <c r="C334" i="3"/>
  <c r="A560" i="3"/>
  <c r="C91" i="3"/>
  <c r="C342" i="3"/>
  <c r="E49" i="3"/>
  <c r="D158" i="3"/>
  <c r="C170" i="3"/>
  <c r="C316" i="3"/>
  <c r="A446" i="3"/>
  <c r="E204" i="3"/>
  <c r="B77" i="3"/>
  <c r="B119" i="3"/>
  <c r="E114" i="3"/>
  <c r="A13" i="3"/>
  <c r="A314" i="3"/>
  <c r="B78" i="3"/>
  <c r="A144" i="3"/>
  <c r="E244" i="3"/>
  <c r="B6" i="3"/>
  <c r="B261" i="3"/>
  <c r="F175" i="3"/>
  <c r="C286" i="3"/>
  <c r="B29" i="3"/>
  <c r="D373" i="3"/>
  <c r="C27" i="3"/>
  <c r="F364" i="3"/>
  <c r="D136" i="3"/>
  <c r="C338" i="3"/>
  <c r="E53" i="3"/>
  <c r="D543" i="3"/>
  <c r="C325" i="3"/>
  <c r="E521" i="3"/>
  <c r="E172" i="3"/>
  <c r="E123" i="3"/>
  <c r="C103" i="3"/>
  <c r="D92" i="3"/>
  <c r="A299" i="3"/>
  <c r="D483" i="3"/>
  <c r="B266" i="3"/>
  <c r="C371" i="3"/>
  <c r="A23" i="3"/>
  <c r="A422" i="3"/>
  <c r="B150" i="3"/>
  <c r="F13" i="3"/>
  <c r="A160" i="3"/>
  <c r="E26" i="3"/>
  <c r="C308" i="3"/>
  <c r="A209" i="3"/>
  <c r="C104" i="3"/>
  <c r="B507" i="3"/>
  <c r="B323" i="3"/>
  <c r="C189" i="3"/>
  <c r="C177" i="3"/>
  <c r="E432" i="3"/>
  <c r="D16" i="3"/>
  <c r="B610" i="3"/>
  <c r="F52" i="3"/>
  <c r="D277" i="3"/>
  <c r="C307" i="3"/>
  <c r="B343" i="3"/>
  <c r="C60" i="3"/>
  <c r="E553" i="3"/>
  <c r="D63" i="3"/>
  <c r="D355" i="3"/>
  <c r="F90" i="3"/>
  <c r="F609" i="3"/>
  <c r="E385" i="3"/>
  <c r="E132" i="3"/>
  <c r="F5" i="3"/>
  <c r="B123" i="3"/>
  <c r="B216" i="3"/>
  <c r="D45" i="3"/>
  <c r="A294" i="3"/>
  <c r="D250" i="3"/>
  <c r="D80" i="3"/>
  <c r="C18" i="3"/>
  <c r="E164" i="3"/>
  <c r="D38" i="3"/>
  <c r="F123" i="3"/>
  <c r="D315" i="3"/>
  <c r="C95" i="3"/>
  <c r="F285" i="3"/>
  <c r="D221" i="3"/>
  <c r="E126" i="3"/>
  <c r="A285" i="3"/>
  <c r="F441" i="3"/>
  <c r="E301" i="3"/>
  <c r="E20" i="3"/>
  <c r="B134" i="3"/>
  <c r="B34" i="3"/>
  <c r="A259" i="3"/>
  <c r="F28" i="3"/>
  <c r="E112" i="3"/>
  <c r="D114" i="3"/>
  <c r="D22" i="3"/>
  <c r="E424" i="3"/>
  <c r="A61" i="3"/>
  <c r="D545" i="3"/>
  <c r="D27" i="3"/>
  <c r="F91" i="3"/>
  <c r="C88" i="3"/>
  <c r="B158" i="3"/>
  <c r="B22" i="3"/>
  <c r="E558" i="3"/>
  <c r="F461" i="3"/>
  <c r="C251" i="3"/>
  <c r="E438" i="3"/>
  <c r="A541" i="3"/>
  <c r="E283" i="3"/>
  <c r="F197" i="3"/>
  <c r="A10" i="3"/>
  <c r="D305" i="3"/>
  <c r="F132" i="3"/>
  <c r="F98" i="3"/>
  <c r="D438" i="3"/>
  <c r="A15" i="3"/>
  <c r="C360" i="3"/>
  <c r="E179" i="3"/>
  <c r="F303" i="3"/>
  <c r="B227" i="3"/>
  <c r="B86" i="3"/>
  <c r="D205" i="3"/>
  <c r="D141" i="3"/>
  <c r="D2" i="3"/>
  <c r="A494" i="3"/>
  <c r="C48" i="3"/>
  <c r="B614" i="3"/>
  <c r="B127" i="3"/>
  <c r="D256" i="3"/>
  <c r="A218" i="3"/>
  <c r="B397" i="3"/>
  <c r="B175" i="3"/>
  <c r="F84" i="3"/>
  <c r="B308" i="3"/>
  <c r="C192" i="3"/>
  <c r="A266" i="3"/>
  <c r="A64" i="3"/>
  <c r="E293" i="3"/>
  <c r="A56" i="3"/>
  <c r="N24" i="14" s="1"/>
  <c r="S24" i="14" s="1"/>
  <c r="E252" i="3"/>
  <c r="D514" i="3"/>
  <c r="B369" i="3"/>
  <c r="A843" i="3"/>
  <c r="C4" i="3"/>
  <c r="D32" i="3"/>
  <c r="D458" i="3"/>
  <c r="B292" i="3"/>
  <c r="A200" i="3"/>
  <c r="E76" i="3"/>
  <c r="B110" i="3"/>
  <c r="F74" i="3"/>
  <c r="B232" i="3"/>
  <c r="A351" i="3"/>
  <c r="H10" i="13" s="1"/>
  <c r="AG10" i="13" s="1"/>
  <c r="AI10" i="13" s="1"/>
  <c r="A253" i="3"/>
  <c r="E95" i="3"/>
  <c r="E302" i="3"/>
  <c r="E402" i="3"/>
  <c r="D210" i="3"/>
  <c r="B211" i="3"/>
  <c r="B226" i="3"/>
  <c r="A196" i="3"/>
  <c r="B370" i="3"/>
  <c r="B95" i="3"/>
  <c r="C476" i="3"/>
  <c r="A75" i="3"/>
  <c r="C129" i="3"/>
  <c r="A78" i="3"/>
  <c r="C235" i="3"/>
  <c r="E209" i="3"/>
  <c r="B85" i="3"/>
  <c r="E105" i="3"/>
  <c r="C85" i="3"/>
  <c r="F112" i="3"/>
  <c r="D104" i="3"/>
  <c r="C364" i="3"/>
  <c r="C202" i="3"/>
  <c r="A281" i="3"/>
  <c r="C101" i="3"/>
  <c r="D50" i="3"/>
  <c r="F395" i="3"/>
  <c r="D238" i="3"/>
  <c r="F128" i="3"/>
  <c r="E128" i="3"/>
  <c r="B15" i="3"/>
  <c r="C361" i="3"/>
  <c r="F234" i="3"/>
  <c r="D70" i="3"/>
  <c r="D530" i="3"/>
  <c r="D15" i="3"/>
  <c r="C468" i="3"/>
  <c r="C174" i="3"/>
  <c r="F129" i="3"/>
  <c r="D226" i="3"/>
  <c r="C451" i="3"/>
  <c r="E177" i="3"/>
  <c r="B69" i="3"/>
  <c r="F474" i="3"/>
  <c r="E166" i="3"/>
  <c r="A102" i="3"/>
  <c r="B415" i="3"/>
  <c r="K14" i="13"/>
  <c r="X14" i="13"/>
  <c r="J10" i="13" l="1"/>
  <c r="V14" i="13"/>
  <c r="K7" i="8" a="1"/>
  <c r="K7" i="8" s="1"/>
  <c r="J6" i="1" a="1"/>
  <c r="J6" i="1" s="1"/>
  <c r="D8" i="8" a="1"/>
  <c r="D8" i="8" s="1"/>
  <c r="H7" i="8" a="1"/>
  <c r="H7" i="8" s="1"/>
  <c r="K8" i="8" a="1"/>
  <c r="K8" i="8" s="1"/>
  <c r="S8" i="8" a="1"/>
  <c r="S8" i="8" s="1"/>
  <c r="Q10" i="8" a="1"/>
  <c r="Q10" i="8" s="1"/>
  <c r="J8" i="7" a="1"/>
  <c r="J8" i="7" s="1"/>
  <c r="P9" i="8" a="1"/>
  <c r="P9" i="8" s="1"/>
  <c r="G8" i="8" a="1"/>
  <c r="G8" i="8" s="1"/>
  <c r="Q9" i="8" a="1"/>
  <c r="Q9" i="8" s="1"/>
  <c r="S10" i="8" a="1"/>
  <c r="S10" i="8" s="1"/>
  <c r="E8" i="7" a="1"/>
  <c r="E8" i="7" s="1"/>
  <c r="Q8" i="7" a="1"/>
  <c r="Q8" i="7" s="1"/>
  <c r="H8" i="8" a="1"/>
  <c r="H8" i="8" s="1"/>
  <c r="C6" i="1" a="1"/>
  <c r="C6" i="1" s="1"/>
  <c r="Q11" i="8" a="1"/>
  <c r="Q11" i="8" s="1"/>
  <c r="D8" i="7" a="1"/>
  <c r="D8" i="7" s="1"/>
  <c r="N7" i="7" a="1"/>
  <c r="N7" i="7" s="1"/>
  <c r="H11" i="8" a="1"/>
  <c r="H11" i="8" s="1"/>
  <c r="D11" i="8" a="1"/>
  <c r="D11" i="8" s="1"/>
  <c r="AE14" i="13"/>
  <c r="C14" i="13"/>
  <c r="M14" i="13"/>
  <c r="AJ14" i="13"/>
  <c r="S14" i="13"/>
  <c r="D14" i="13"/>
  <c r="W14" i="13"/>
  <c r="R14" i="13"/>
  <c r="T14" i="13" s="1"/>
  <c r="Z14" i="13"/>
  <c r="U14" i="13"/>
  <c r="B14" i="13"/>
  <c r="I14" i="13"/>
  <c r="J9" i="7" a="1"/>
  <c r="J9" i="7" s="1"/>
  <c r="J11" i="8" a="1"/>
  <c r="J11" i="8" s="1"/>
  <c r="D9" i="7" a="1"/>
  <c r="D9" i="7" s="1"/>
  <c r="G9" i="8" a="1"/>
  <c r="G9" i="8" s="1"/>
  <c r="E8" i="8" a="1"/>
  <c r="E8" i="8" s="1"/>
  <c r="K7" i="7" a="1"/>
  <c r="K7" i="7" s="1"/>
  <c r="G8" i="7" a="1"/>
  <c r="G8" i="7" s="1"/>
  <c r="I6" i="1" a="1"/>
  <c r="I6" i="1" s="1"/>
  <c r="E7" i="8" a="1"/>
  <c r="E7" i="8" s="1"/>
  <c r="K8" i="7" a="1"/>
  <c r="K8" i="7" s="1"/>
  <c r="L8" i="7" s="1"/>
  <c r="K9" i="7" a="1"/>
  <c r="K9" i="7" s="1"/>
  <c r="N8" i="8" a="1"/>
  <c r="N8" i="8" s="1"/>
  <c r="K10" i="8" a="1"/>
  <c r="K10" i="8" s="1"/>
  <c r="H8" i="7" a="1"/>
  <c r="H8" i="7" s="1"/>
  <c r="T8" i="7" a="1"/>
  <c r="T8" i="7" s="1"/>
  <c r="K9" i="8" a="1"/>
  <c r="K9" i="8" s="1"/>
  <c r="T9" i="7" a="1"/>
  <c r="T9" i="7" s="1"/>
  <c r="Q8" i="8" a="1"/>
  <c r="Q8" i="8" s="1"/>
  <c r="M6" i="1" a="1"/>
  <c r="M6" i="1" s="1"/>
  <c r="T7" i="8" a="1"/>
  <c r="T7" i="8" s="1"/>
  <c r="P7" i="7" a="1"/>
  <c r="P7" i="7" s="1"/>
  <c r="J10" i="8" a="1"/>
  <c r="J10" i="8" s="1"/>
  <c r="M8" i="8" a="1"/>
  <c r="M8" i="8" s="1"/>
  <c r="J9" i="8" a="1"/>
  <c r="J9" i="8" s="1"/>
  <c r="N8" i="7" a="1"/>
  <c r="N8" i="7" s="1"/>
  <c r="S9" i="7" a="1"/>
  <c r="S9" i="7" s="1"/>
  <c r="S9" i="8" a="1"/>
  <c r="S9" i="8" s="1"/>
  <c r="Q9" i="7" a="1"/>
  <c r="Q9" i="7" s="1"/>
  <c r="P9" i="7" a="1"/>
  <c r="P9" i="7" s="1"/>
  <c r="H7" i="7" a="1"/>
  <c r="H7" i="7" s="1"/>
  <c r="Q7" i="8" a="1"/>
  <c r="Q7" i="8" s="1"/>
  <c r="G10" i="8" a="1"/>
  <c r="G10" i="8" s="1"/>
  <c r="D10" i="8" a="1"/>
  <c r="D10" i="8" s="1"/>
  <c r="N9" i="8" a="1"/>
  <c r="N9" i="8" s="1"/>
  <c r="T8" i="8" a="1"/>
  <c r="T8" i="8" s="1"/>
  <c r="P11" i="8" a="1"/>
  <c r="P11" i="8" s="1"/>
  <c r="G11" i="8" a="1"/>
  <c r="G11" i="8" s="1"/>
  <c r="S8" i="7" a="1"/>
  <c r="S8" i="7" s="1"/>
  <c r="U8" i="8"/>
  <c r="J7" i="7" a="1"/>
  <c r="J7" i="7" s="1"/>
  <c r="D9" i="8" a="1"/>
  <c r="D9" i="8" s="1"/>
  <c r="S11" i="8" a="1"/>
  <c r="S11" i="8" s="1"/>
  <c r="N9" i="7" a="1"/>
  <c r="N9" i="7" s="1"/>
  <c r="M11" i="8" a="1"/>
  <c r="M11" i="8" s="1"/>
  <c r="T11" i="8" a="1"/>
  <c r="T11" i="8" s="1"/>
  <c r="H9" i="7" a="1"/>
  <c r="H9" i="7" s="1"/>
  <c r="S6" i="1" a="1"/>
  <c r="S6" i="1" s="1"/>
  <c r="E9" i="8" a="1"/>
  <c r="E9" i="8" s="1"/>
  <c r="P8" i="7" a="1"/>
  <c r="P8" i="7" s="1"/>
  <c r="D6" i="1" a="1"/>
  <c r="D6" i="1" s="1"/>
  <c r="M9" i="8" a="1"/>
  <c r="M9" i="8" s="1"/>
  <c r="O6" i="1" a="1"/>
  <c r="O6" i="1" s="1"/>
  <c r="M10" i="8" a="1"/>
  <c r="M10" i="8" s="1"/>
  <c r="P10" i="8" a="1"/>
  <c r="P10" i="8" s="1"/>
  <c r="G7" i="7" a="1"/>
  <c r="G7" i="7" s="1"/>
  <c r="J7" i="8" a="1"/>
  <c r="J7" i="8" s="1"/>
  <c r="L7" i="8" s="1"/>
  <c r="R6" i="1" a="1"/>
  <c r="R6" i="1" s="1"/>
  <c r="D7" i="8" a="1"/>
  <c r="D7" i="8" s="1"/>
  <c r="F7" i="8" s="1"/>
  <c r="H9" i="8" a="1"/>
  <c r="H9" i="8" s="1"/>
  <c r="I9" i="8" s="1"/>
  <c r="Q7" i="7" a="1"/>
  <c r="Q7" i="7" s="1"/>
  <c r="R7" i="7" s="1"/>
  <c r="M9" i="7" a="1"/>
  <c r="M9" i="7" s="1"/>
  <c r="N7" i="8" a="1"/>
  <c r="N7" i="8" s="1"/>
  <c r="T7" i="7" a="1"/>
  <c r="T7" i="7" s="1"/>
  <c r="K11" i="8" a="1"/>
  <c r="K11" i="8" s="1"/>
  <c r="L11" i="8" s="1"/>
  <c r="M7" i="8" a="1"/>
  <c r="M7" i="8" s="1"/>
  <c r="M7" i="7" a="1"/>
  <c r="M7" i="7" s="1"/>
  <c r="J8" i="8" a="1"/>
  <c r="J8" i="8" s="1"/>
  <c r="N11" i="8" a="1"/>
  <c r="N11" i="8" s="1"/>
  <c r="O11" i="8" s="1"/>
  <c r="L6" i="1" a="1"/>
  <c r="L6" i="1" s="1"/>
  <c r="G6" i="1" a="1"/>
  <c r="G6" i="1" s="1"/>
  <c r="V6" i="1" s="1"/>
  <c r="P6" i="1" a="1"/>
  <c r="P6" i="1" s="1"/>
  <c r="T9" i="8" a="1"/>
  <c r="T9" i="8" s="1"/>
  <c r="U9" i="8" s="1"/>
  <c r="T10" i="8" a="1"/>
  <c r="T10" i="8" s="1"/>
  <c r="U10" i="8" s="1"/>
  <c r="G9" i="7" a="1"/>
  <c r="G9" i="7" s="1"/>
  <c r="I9" i="7" s="1"/>
  <c r="F6" i="1" a="1"/>
  <c r="F6" i="1" s="1"/>
  <c r="E10" i="8" a="1"/>
  <c r="E10" i="8" s="1"/>
  <c r="F10" i="8" s="1"/>
  <c r="N10" i="8" a="1"/>
  <c r="N10" i="8" s="1"/>
  <c r="O10" i="8" s="1"/>
  <c r="E11" i="8" a="1"/>
  <c r="E11" i="8" s="1"/>
  <c r="H10" i="8" a="1"/>
  <c r="H10" i="8" s="1"/>
  <c r="P8" i="8" a="1"/>
  <c r="P8" i="8" s="1"/>
  <c r="V8" i="8" s="1"/>
  <c r="P7" i="8" a="1"/>
  <c r="P7" i="8" s="1"/>
  <c r="R7" i="8" s="1"/>
  <c r="E9" i="7" a="1"/>
  <c r="E9" i="7" s="1"/>
  <c r="F9" i="7" s="1"/>
  <c r="Q6" i="1"/>
  <c r="V9" i="12" s="1"/>
  <c r="M8" i="7" a="1"/>
  <c r="M8" i="7" s="1"/>
  <c r="O8" i="7" s="1"/>
  <c r="T25" i="14" s="1"/>
  <c r="AB14" i="13"/>
  <c r="S7" i="8" a="1"/>
  <c r="S7" i="8" s="1"/>
  <c r="U7" i="8" s="1"/>
  <c r="S7" i="7" a="1"/>
  <c r="S7" i="7" s="1"/>
  <c r="U7" i="7" s="1"/>
  <c r="G7" i="8" a="1"/>
  <c r="G7" i="8" s="1"/>
  <c r="AK14" i="13"/>
  <c r="G14" i="13"/>
  <c r="I10" i="8"/>
  <c r="E7" i="7" a="1"/>
  <c r="E7" i="7" s="1"/>
  <c r="W7" i="7" s="1"/>
  <c r="AC14" i="13"/>
  <c r="AH14" i="13" s="1"/>
  <c r="P14" i="13"/>
  <c r="AA14" i="13"/>
  <c r="D7" i="7" a="1"/>
  <c r="D7" i="7" s="1"/>
  <c r="L14" i="13"/>
  <c r="O14" i="13" s="1"/>
  <c r="H14" i="13"/>
  <c r="T6" i="1"/>
  <c r="AA17" i="12" s="1"/>
  <c r="R9" i="8"/>
  <c r="L9" i="8"/>
  <c r="I8" i="8"/>
  <c r="E6" i="1"/>
  <c r="V10" i="8"/>
  <c r="R10" i="8"/>
  <c r="I7" i="7"/>
  <c r="Y14" i="13"/>
  <c r="F8" i="8"/>
  <c r="W8" i="8"/>
  <c r="L10" i="8"/>
  <c r="O9" i="8"/>
  <c r="O9" i="7"/>
  <c r="V11" i="8"/>
  <c r="K6" i="1"/>
  <c r="W7" i="8"/>
  <c r="I11" i="8"/>
  <c r="R9" i="7"/>
  <c r="R8" i="7"/>
  <c r="L7" i="7"/>
  <c r="V9" i="8"/>
  <c r="F9" i="8"/>
  <c r="U11" i="8"/>
  <c r="L8" i="8"/>
  <c r="F8" i="7"/>
  <c r="U9" i="7"/>
  <c r="R11" i="8"/>
  <c r="U8" i="7"/>
  <c r="O7" i="7"/>
  <c r="O8" i="8" l="1"/>
  <c r="L9" i="7"/>
  <c r="N47" i="14" s="1"/>
  <c r="W11" i="8"/>
  <c r="X11" i="8" s="1"/>
  <c r="V9" i="7"/>
  <c r="W9" i="8"/>
  <c r="X9" i="8" s="1"/>
  <c r="V11" i="13"/>
  <c r="U6" i="1"/>
  <c r="W6" i="1" s="1"/>
  <c r="N6" i="1"/>
  <c r="Q11" i="12" s="1"/>
  <c r="W8" i="7"/>
  <c r="E14" i="13"/>
  <c r="N29" i="14"/>
  <c r="N33" i="7"/>
  <c r="N33" i="14"/>
  <c r="N27" i="14"/>
  <c r="N35" i="14"/>
  <c r="N25" i="14"/>
  <c r="N31" i="14"/>
  <c r="I8" i="7"/>
  <c r="H6" i="1"/>
  <c r="G15" i="12" s="1"/>
  <c r="O7" i="8"/>
  <c r="V15" i="12"/>
  <c r="W9" i="7"/>
  <c r="V15" i="13"/>
  <c r="V7" i="12"/>
  <c r="W10" i="8"/>
  <c r="X10" i="8" s="1"/>
  <c r="V13" i="12"/>
  <c r="V8" i="7"/>
  <c r="V9" i="13"/>
  <c r="Q29" i="1"/>
  <c r="F11" i="8"/>
  <c r="AG14" i="13"/>
  <c r="Z31" i="7"/>
  <c r="Z15" i="14"/>
  <c r="Z17" i="14"/>
  <c r="Z13" i="14"/>
  <c r="Z7" i="14"/>
  <c r="Z9" i="14"/>
  <c r="Z11" i="14"/>
  <c r="V13" i="13"/>
  <c r="V11" i="12"/>
  <c r="R8" i="8"/>
  <c r="V7" i="8"/>
  <c r="X7" i="8" s="1"/>
  <c r="T31" i="14"/>
  <c r="AF14" i="13"/>
  <c r="T33" i="7"/>
  <c r="T33" i="14"/>
  <c r="T27" i="14"/>
  <c r="V17" i="12"/>
  <c r="V7" i="13"/>
  <c r="AA11" i="12"/>
  <c r="T29" i="14"/>
  <c r="V7" i="7"/>
  <c r="X7" i="7" s="1"/>
  <c r="AD14" i="13"/>
  <c r="AA9" i="13"/>
  <c r="T35" i="14"/>
  <c r="I7" i="8"/>
  <c r="F7" i="7"/>
  <c r="B17" i="14" s="1"/>
  <c r="J14" i="13"/>
  <c r="AA13" i="13"/>
  <c r="AA9" i="12"/>
  <c r="AA7" i="13"/>
  <c r="AA15" i="13"/>
  <c r="AA15" i="12"/>
  <c r="U29" i="1"/>
  <c r="AA11" i="13"/>
  <c r="AA7" i="12"/>
  <c r="AA13" i="12"/>
  <c r="T31" i="7"/>
  <c r="T15" i="14"/>
  <c r="T7" i="14"/>
  <c r="T9" i="14"/>
  <c r="T17" i="14"/>
  <c r="T11" i="14"/>
  <c r="T13" i="14"/>
  <c r="AF13" i="14"/>
  <c r="AF31" i="7"/>
  <c r="AF15" i="14"/>
  <c r="AF9" i="14"/>
  <c r="AF7" i="14"/>
  <c r="AF17" i="14"/>
  <c r="AF11" i="14"/>
  <c r="L7" i="13"/>
  <c r="I29" i="1"/>
  <c r="L11" i="13"/>
  <c r="L15" i="13"/>
  <c r="L13" i="13"/>
  <c r="L11" i="12"/>
  <c r="L9" i="12"/>
  <c r="L7" i="12"/>
  <c r="L17" i="12"/>
  <c r="L9" i="13"/>
  <c r="L13" i="12"/>
  <c r="L15" i="12"/>
  <c r="T49" i="14"/>
  <c r="T43" i="14"/>
  <c r="T47" i="14"/>
  <c r="T45" i="14"/>
  <c r="T35" i="7"/>
  <c r="T51" i="14"/>
  <c r="T53" i="14"/>
  <c r="B43" i="14"/>
  <c r="B47" i="14"/>
  <c r="B53" i="14"/>
  <c r="B49" i="14"/>
  <c r="B45" i="14"/>
  <c r="A35" i="7"/>
  <c r="B51" i="14"/>
  <c r="Z45" i="14"/>
  <c r="Z43" i="14"/>
  <c r="Z49" i="14"/>
  <c r="Z53" i="14"/>
  <c r="Z35" i="7"/>
  <c r="Z51" i="14"/>
  <c r="Z47" i="14"/>
  <c r="H49" i="14"/>
  <c r="H53" i="14"/>
  <c r="H43" i="14"/>
  <c r="H45" i="14"/>
  <c r="H35" i="7"/>
  <c r="H47" i="14"/>
  <c r="H51" i="14"/>
  <c r="AF33" i="14"/>
  <c r="AF25" i="14"/>
  <c r="AF33" i="7"/>
  <c r="AF29" i="14"/>
  <c r="AF27" i="14"/>
  <c r="AF31" i="14"/>
  <c r="AF35" i="14"/>
  <c r="N7" i="14"/>
  <c r="N17" i="14"/>
  <c r="N13" i="14"/>
  <c r="N9" i="14"/>
  <c r="N31" i="7"/>
  <c r="N11" i="14"/>
  <c r="N15" i="14"/>
  <c r="X8" i="8"/>
  <c r="H7" i="14"/>
  <c r="H15" i="14"/>
  <c r="H31" i="7"/>
  <c r="H9" i="14"/>
  <c r="H11" i="14"/>
  <c r="H17" i="14"/>
  <c r="H13" i="14"/>
  <c r="B11" i="12"/>
  <c r="B13" i="12"/>
  <c r="B17" i="12"/>
  <c r="A29" i="1"/>
  <c r="B13" i="13"/>
  <c r="B11" i="13"/>
  <c r="B7" i="12"/>
  <c r="B9" i="13"/>
  <c r="B15" i="13"/>
  <c r="B9" i="12"/>
  <c r="B7" i="13"/>
  <c r="B15" i="12"/>
  <c r="B31" i="14"/>
  <c r="A33" i="7"/>
  <c r="B29" i="14"/>
  <c r="B25" i="14"/>
  <c r="B27" i="14"/>
  <c r="B35" i="14"/>
  <c r="B33" i="14"/>
  <c r="Z29" i="14"/>
  <c r="Z35" i="14"/>
  <c r="Z25" i="14"/>
  <c r="Z33" i="14"/>
  <c r="Z31" i="14"/>
  <c r="Z33" i="7"/>
  <c r="Z27" i="14"/>
  <c r="Q7" i="12"/>
  <c r="Q9" i="12"/>
  <c r="AF47" i="14"/>
  <c r="AF35" i="7"/>
  <c r="AF53" i="14"/>
  <c r="AF45" i="14"/>
  <c r="AF43" i="14"/>
  <c r="AF49" i="14"/>
  <c r="AF51" i="14"/>
  <c r="Q11" i="13" l="1"/>
  <c r="N43" i="14"/>
  <c r="Q15" i="12"/>
  <c r="Q9" i="13"/>
  <c r="Q13" i="12"/>
  <c r="X8" i="7"/>
  <c r="AL25" i="14" s="1"/>
  <c r="X9" i="7"/>
  <c r="AL35" i="7" s="1"/>
  <c r="N51" i="14"/>
  <c r="N45" i="14"/>
  <c r="N35" i="7"/>
  <c r="N53" i="14"/>
  <c r="N49" i="14"/>
  <c r="Q13" i="13"/>
  <c r="Q7" i="13"/>
  <c r="Q15" i="13"/>
  <c r="Q17" i="12"/>
  <c r="M29" i="1"/>
  <c r="G13" i="13"/>
  <c r="B13" i="14"/>
  <c r="G17" i="12"/>
  <c r="G15" i="13"/>
  <c r="G9" i="13"/>
  <c r="G9" i="12"/>
  <c r="G13" i="12"/>
  <c r="H35" i="14"/>
  <c r="H33" i="14"/>
  <c r="H33" i="7"/>
  <c r="H31" i="14"/>
  <c r="H27" i="14"/>
  <c r="H25" i="14"/>
  <c r="H29" i="14"/>
  <c r="AL51" i="14"/>
  <c r="E29" i="1"/>
  <c r="G7" i="13"/>
  <c r="G11" i="12"/>
  <c r="G11" i="13"/>
  <c r="G7" i="12"/>
  <c r="B11" i="14"/>
  <c r="AL35" i="14"/>
  <c r="AL27" i="14"/>
  <c r="AI14" i="13"/>
  <c r="B7" i="14"/>
  <c r="B15" i="14"/>
  <c r="B9" i="14"/>
  <c r="A31" i="7"/>
  <c r="AL43" i="14"/>
  <c r="AL49" i="14"/>
  <c r="AL47" i="14"/>
  <c r="AL53" i="14"/>
  <c r="AL45" i="14"/>
  <c r="AF13" i="13"/>
  <c r="AF11" i="12"/>
  <c r="AF11" i="13"/>
  <c r="AF13" i="12"/>
  <c r="AF7" i="13"/>
  <c r="AF9" i="13"/>
  <c r="AF9" i="12"/>
  <c r="AF7" i="12"/>
  <c r="AF15" i="12"/>
  <c r="AF15" i="13"/>
  <c r="Y29" i="1"/>
  <c r="AF17" i="12"/>
  <c r="AL11" i="14"/>
  <c r="AL13" i="14"/>
  <c r="AL7" i="14"/>
  <c r="AL9" i="14"/>
  <c r="AL15" i="14"/>
  <c r="AL17" i="14"/>
  <c r="AL31" i="7"/>
  <c r="AL31" i="14" l="1"/>
  <c r="AL29" i="14"/>
  <c r="AL33" i="14"/>
  <c r="AL33" i="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SHIVA MEGHWANSHI</author>
  </authors>
  <commentList>
    <comment ref="A1" authorId="0" shapeId="0" xr:uid="{75A3F5F5-F3C9-4DEA-98D0-0A6B37F9A327}">
      <text>
        <r>
          <rPr>
            <b/>
            <sz val="10"/>
            <color indexed="81"/>
            <rFont val="Aparajita"/>
            <family val="1"/>
          </rPr>
          <t xml:space="preserve">शीट में विद्यालय का नाम बदलने के लिए यंहा लिखे </t>
        </r>
      </text>
    </comment>
    <comment ref="N2" authorId="0" shapeId="0" xr:uid="{B468E092-6DD7-4603-9AED-7718C42376F5}">
      <text>
        <r>
          <rPr>
            <b/>
            <sz val="9"/>
            <color indexed="81"/>
            <rFont val="Tahoma"/>
            <family val="2"/>
          </rPr>
          <t xml:space="preserve">आवश्यक हो तभी विषय में बदलाव करे अन्यथा कक्षा 1 से 10 तक में बदलाव ना करे यदि संकाय में बदलाव है तो अंतिम 3 विषय में बदलाव करे </t>
        </r>
      </text>
    </comment>
    <comment ref="O2" authorId="0" shapeId="0" xr:uid="{21D0A540-A38D-4678-8C5B-E0ED64676558}">
      <text>
        <r>
          <rPr>
            <b/>
            <sz val="9"/>
            <color indexed="81"/>
            <rFont val="Tahoma"/>
            <family val="2"/>
          </rPr>
          <t>SHIVA MEGHWANSHI:</t>
        </r>
        <r>
          <rPr>
            <sz val="9"/>
            <color indexed="81"/>
            <rFont val="Tahoma"/>
            <family val="2"/>
          </rPr>
          <t xml:space="preserve">
यह पासवर्ड केवल विषय एंट्री में बदलाव हेतु है शीट के पासवर्ड के लिए 9636731794 पर संपर्क करे|</t>
        </r>
      </text>
    </comment>
    <comment ref="A3" authorId="0" shapeId="0" xr:uid="{488C4432-68A5-4A69-B80A-CE5F24B9D532}">
      <text>
        <r>
          <rPr>
            <b/>
            <sz val="9"/>
            <color indexed="81"/>
            <rFont val="Aparajita"/>
            <family val="1"/>
          </rPr>
          <t xml:space="preserve">कक्षा 9 में 75 % से अधिक प्राप्त करने वाले विद्यार्थीयो की जानकारी </t>
        </r>
      </text>
    </comment>
    <comment ref="H3" authorId="0" shapeId="0" xr:uid="{173723B1-14ED-4E84-AFD3-D9FA12843A46}">
      <text>
        <r>
          <rPr>
            <b/>
            <sz val="9"/>
            <color indexed="81"/>
            <rFont val="Tahoma"/>
            <family val="2"/>
          </rPr>
          <t xml:space="preserve">विद्यार्थियों का डाटा शाला दर्पण से डाउनलोड कर इसमे पेस्ट करे </t>
        </r>
      </text>
    </comment>
    <comment ref="A4" authorId="0" shapeId="0" xr:uid="{6582FAEF-20B7-4D85-BB4E-BE382F1E010E}">
      <text>
        <r>
          <rPr>
            <b/>
            <sz val="9"/>
            <color indexed="81"/>
            <rFont val="Aparajita"/>
            <family val="1"/>
          </rPr>
          <t xml:space="preserve">कक्षा 9 का परीक्षा परिणाम श्रेणीवार </t>
        </r>
      </text>
    </comment>
    <comment ref="H4" authorId="0" shapeId="0" xr:uid="{3D1504C8-222C-48A8-9E80-D0FBF93AB6ED}">
      <text>
        <r>
          <rPr>
            <b/>
            <sz val="9"/>
            <color indexed="81"/>
            <rFont val="Tahoma"/>
            <family val="2"/>
          </rPr>
          <t xml:space="preserve">विद्यार्थियों की प्राप्त ग्रेड ओर विषयवार ग्रेड इस वाली शीट में भरना है सबसे प्रमुख शीट है </t>
        </r>
      </text>
    </comment>
    <comment ref="A5" authorId="0" shapeId="0" xr:uid="{3C43B3C9-5CC5-4501-A160-FF2FFEAEB644}">
      <text>
        <r>
          <rPr>
            <b/>
            <sz val="9"/>
            <color indexed="81"/>
            <rFont val="Aparajita"/>
            <family val="1"/>
          </rPr>
          <t xml:space="preserve">कक्षा 6 से 8 तक का परीक्षा परिणाम श्रेणीवार </t>
        </r>
      </text>
    </comment>
    <comment ref="H5" authorId="0" shapeId="0" xr:uid="{6AE404BA-1C8F-41DC-9FC6-A072075900EF}">
      <text>
        <r>
          <rPr>
            <b/>
            <sz val="9"/>
            <color indexed="81"/>
            <rFont val="Tahoma"/>
            <family val="2"/>
          </rPr>
          <t xml:space="preserve">अपने विद्यालय से संबंधित सूचना इस शीट में भरे </t>
        </r>
      </text>
    </comment>
    <comment ref="A6" authorId="0" shapeId="0" xr:uid="{20B170A7-206F-4A32-9B93-05CC42AB201F}">
      <text>
        <r>
          <rPr>
            <b/>
            <sz val="9"/>
            <color indexed="81"/>
            <rFont val="Aparajita"/>
            <family val="1"/>
          </rPr>
          <t>कक्षा 11 का परीक्षा परिणाम श्रेणीवार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H6" authorId="0" shapeId="0" xr:uid="{D57AA0E3-E229-45DF-A307-089E03576426}">
      <text>
        <r>
          <rPr>
            <sz val="9"/>
            <color indexed="81"/>
            <rFont val="Tahoma"/>
            <family val="2"/>
          </rPr>
          <t xml:space="preserve">कक्षा 9  में 75% से अधिक प्राप्त करने वाले विद्यार्थियों की सूचना यंहा पर भरे </t>
        </r>
      </text>
    </comment>
    <comment ref="A7" authorId="0" shapeId="0" xr:uid="{8992138F-0F94-42B0-AA91-F3F53C4F0694}">
      <text>
        <r>
          <rPr>
            <b/>
            <sz val="9"/>
            <color indexed="81"/>
            <rFont val="Aparajita"/>
            <family val="1"/>
          </rPr>
          <t xml:space="preserve">विद्यालय की सामान्य जानकारी आपको भरनी होगी लिफाफा_5 शीट में </t>
        </r>
      </text>
    </comment>
    <comment ref="A8" authorId="0" shapeId="0" xr:uid="{33641EBD-D23D-4C26-91A7-BF993235F174}">
      <text>
        <r>
          <rPr>
            <b/>
            <sz val="9"/>
            <color indexed="81"/>
            <rFont val="Tahoma"/>
            <family val="2"/>
          </rPr>
          <t xml:space="preserve">आप कक्षा 1 से 5 तक के परीक्षा परिणाम प्राप्त करे 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SHIVA MEGHWANSHI</author>
  </authors>
  <commentList>
    <comment ref="G1" authorId="0" shapeId="0" xr:uid="{80E396C6-F067-4382-9C46-A9DB611E853A}">
      <text>
        <r>
          <rPr>
            <b/>
            <sz val="9"/>
            <color indexed="81"/>
            <rFont val="Tahoma"/>
            <family val="2"/>
          </rPr>
          <t xml:space="preserve">कक्षा में प्राप्त ग्रेड लिखे </t>
        </r>
      </text>
    </comment>
    <comment ref="I1" authorId="0" shapeId="0" xr:uid="{A9AB7C7A-85E8-4175-8086-189C114EFEF9}">
      <text>
        <r>
          <rPr>
            <b/>
            <sz val="9"/>
            <color indexed="81"/>
            <rFont val="Tahoma"/>
            <family val="2"/>
          </rPr>
          <t xml:space="preserve">कक्षा में बदलाव हो तो लिफाफा प्रिन्ट शीट पर बदलाव करे </t>
        </r>
      </text>
    </comment>
    <comment ref="J1" authorId="0" shapeId="0" xr:uid="{81E0E873-4313-45A4-B5E3-EDFB286C67CC}">
      <text>
        <r>
          <rPr>
            <b/>
            <sz val="9"/>
            <color indexed="81"/>
            <rFont val="Tahoma"/>
            <family val="2"/>
          </rPr>
          <t xml:space="preserve">कक्षा में बदलाव हो तो लिफाफा प्रिन्ट शीट पर बदलाव करे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" authorId="0" shapeId="0" xr:uid="{A617B09B-77F6-46FA-88CD-844555E94178}">
      <text>
        <r>
          <rPr>
            <b/>
            <sz val="9"/>
            <color indexed="81"/>
            <rFont val="Tahoma"/>
            <family val="2"/>
          </rPr>
          <t xml:space="preserve">कक्षा में बदलाव हो तो लिफाफा प्रिन्ट शीट पर बदलाव करे </t>
        </r>
      </text>
    </comment>
    <comment ref="L1" authorId="0" shapeId="0" xr:uid="{1D8DD490-C5DC-473B-83BD-7D647857769C}">
      <text>
        <r>
          <rPr>
            <b/>
            <sz val="9"/>
            <color indexed="81"/>
            <rFont val="Tahoma"/>
            <family val="2"/>
          </rPr>
          <t xml:space="preserve">कक्षा में बदलाव हो तो लिफाफा प्रिन्ट शीट पर बदलाव करे </t>
        </r>
      </text>
    </comment>
    <comment ref="M1" authorId="0" shapeId="0" xr:uid="{53F7DCFB-5985-4EED-B72C-38B504E45CFF}">
      <text>
        <r>
          <rPr>
            <b/>
            <sz val="9"/>
            <color indexed="81"/>
            <rFont val="Tahoma"/>
            <family val="2"/>
          </rPr>
          <t xml:space="preserve">कक्षा में बदलाव हो तो लिफाफा प्रिन्ट शीट पर बदलाव करे </t>
        </r>
      </text>
    </comment>
    <comment ref="N1" authorId="0" shapeId="0" xr:uid="{451C3D83-1885-4968-B1AE-C7EA28C61982}">
      <text>
        <r>
          <rPr>
            <b/>
            <sz val="9"/>
            <color indexed="81"/>
            <rFont val="Aparajita"/>
            <family val="1"/>
          </rPr>
          <t>कक्षा 1से 5 तक के पर्यावरण विषय की ग्रेड भी इसी में भरनी है</t>
        </r>
        <r>
          <rPr>
            <sz val="9"/>
            <color indexed="81"/>
            <rFont val="Tahoma"/>
          </rPr>
          <t xml:space="preserve"> </t>
        </r>
      </text>
    </comment>
    <comment ref="O1" authorId="0" shapeId="0" xr:uid="{2CD6D980-43B7-42EB-8CAC-F6EF8EFC2247}">
      <text>
        <r>
          <rPr>
            <b/>
            <sz val="9"/>
            <color indexed="81"/>
            <rFont val="Tahoma"/>
            <family val="2"/>
          </rPr>
          <t xml:space="preserve">कक्षा में बदलाव हो तो लिफाफा प्रिन्ट शीट पर बदलाव करे </t>
        </r>
      </text>
    </comment>
    <comment ref="P1" authorId="0" shapeId="0" xr:uid="{6242EC5B-DD33-4E55-8676-19EE711FC38D}">
      <text>
        <r>
          <rPr>
            <b/>
            <sz val="9"/>
            <color indexed="81"/>
            <rFont val="Tahoma"/>
            <family val="2"/>
          </rPr>
          <t xml:space="preserve">कक्षा में बदलाव हो तो लिफाफा प्रिन्ट शीट पर बदलाव करे </t>
        </r>
      </text>
    </comment>
    <comment ref="Q1" authorId="0" shapeId="0" xr:uid="{C79F4215-3F12-4AE4-AA37-AFD15B26874D}">
      <text>
        <r>
          <rPr>
            <b/>
            <sz val="9"/>
            <color indexed="81"/>
            <rFont val="Tahoma"/>
            <family val="2"/>
          </rPr>
          <t xml:space="preserve">कक्षा में बदलाव हो तो लिफाफा प्रिन्ट शीट पर बदलाव करे </t>
        </r>
      </text>
    </comment>
    <comment ref="R1" authorId="0" shapeId="0" xr:uid="{D2041ED8-00AB-49AF-A38F-4535A1AE6781}">
      <text>
        <r>
          <rPr>
            <b/>
            <sz val="9"/>
            <color indexed="81"/>
            <rFont val="Tahoma"/>
            <charset val="1"/>
          </rPr>
          <t xml:space="preserve">प्रथमबार प्रयोग में लाने से पहले एक बार शीट में भरी गई ग्रेड को साफ कर ले डाटा सिर्फ प्रथमबार प्रयोग करते समय हटाना है उसके बाद नहीं 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SHIVA MEGHWANSHI</author>
  </authors>
  <commentList>
    <comment ref="Y1" authorId="0" shapeId="0" xr:uid="{A106CAED-C6B8-4E04-829F-F8BF9A565EEA}">
      <text>
        <r>
          <rPr>
            <b/>
            <sz val="9"/>
            <color indexed="81"/>
            <rFont val="Tahoma"/>
            <family val="2"/>
          </rPr>
          <t>कक्षा 9 से 12 तक का परीक्षा प्रतिफल बनाया जा सकता है "STUDENTDATA"  में एंट्री करने के बाद यहाँ कक्षा का चुनाव कर प्रतिफल प्राप्त करे |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<sst xmlns="http://schemas.openxmlformats.org/spreadsheetml/2006/main" count="5894" uniqueCount="1558">
  <si>
    <t>School Code</t>
  </si>
  <si>
    <t>Ø-la-</t>
  </si>
  <si>
    <t>ijh{kk esa izfo"B Nk=@Nk=kvksa dh la[;k</t>
  </si>
  <si>
    <t>;ksx</t>
  </si>
  <si>
    <t>SC</t>
  </si>
  <si>
    <t>ST</t>
  </si>
  <si>
    <t>OBC</t>
  </si>
  <si>
    <t>SBC</t>
  </si>
  <si>
    <t>GEN</t>
  </si>
  <si>
    <t>MIN</t>
  </si>
  <si>
    <t>B</t>
  </si>
  <si>
    <t>G</t>
  </si>
  <si>
    <t>T</t>
  </si>
  <si>
    <t>mÙkh.kZ Nk=ksa dh la[;k ¼Js.khokj½</t>
  </si>
  <si>
    <t>I</t>
  </si>
  <si>
    <t>II</t>
  </si>
  <si>
    <t>III</t>
  </si>
  <si>
    <t>mÙkh.kZ Nk=kvksa dh la[;k ¼Js.khokj½</t>
  </si>
  <si>
    <t xml:space="preserve"> dqy mÙkh.kZ fo|kfFkZ;ksa dh la[;k ¼Js.khokj½</t>
  </si>
  <si>
    <t>Class</t>
  </si>
  <si>
    <t>Section</t>
  </si>
  <si>
    <t>SRNO</t>
  </si>
  <si>
    <t>DOA</t>
  </si>
  <si>
    <t>Name</t>
  </si>
  <si>
    <t>Late Status</t>
  </si>
  <si>
    <t>FatherName</t>
  </si>
  <si>
    <t>MotherName</t>
  </si>
  <si>
    <t>Gender</t>
  </si>
  <si>
    <t>Dob</t>
  </si>
  <si>
    <t>ClassRollNo</t>
  </si>
  <si>
    <t>ExamRollNumber</t>
  </si>
  <si>
    <t>School Total Working Days</t>
  </si>
  <si>
    <t>Student Total Attendence</t>
  </si>
  <si>
    <t>Category</t>
  </si>
  <si>
    <t>Religion</t>
  </si>
  <si>
    <t>Previous Year Marks</t>
  </si>
  <si>
    <t>Name Of School</t>
  </si>
  <si>
    <t>School UDise Code</t>
  </si>
  <si>
    <t>Aadhar No of Student</t>
  </si>
  <si>
    <t>Bhamashash Card</t>
  </si>
  <si>
    <t>Mobile No Student(Father/Mother/Guardian</t>
  </si>
  <si>
    <t>Student Permanent Address</t>
  </si>
  <si>
    <t>Annual Parental Income</t>
  </si>
  <si>
    <t>CWSN Status</t>
  </si>
  <si>
    <t>BPL Status</t>
  </si>
  <si>
    <t>Minority Status</t>
  </si>
  <si>
    <t>Age On Present(In Years)</t>
  </si>
  <si>
    <t>Co-Curricular Activity</t>
  </si>
  <si>
    <t>Distance From School</t>
  </si>
  <si>
    <t>A</t>
  </si>
  <si>
    <t>Satyanarayan Jat</t>
  </si>
  <si>
    <t>F</t>
  </si>
  <si>
    <t>Hindu</t>
  </si>
  <si>
    <t>GOVT. SENIOR SECONDARY SCHOOL MORAJHADI (214242)</t>
  </si>
  <si>
    <t>MORAJHADI,SHRINAGAR,MORAJHADI,305402</t>
  </si>
  <si>
    <t>N</t>
  </si>
  <si>
    <t>No</t>
  </si>
  <si>
    <t>None</t>
  </si>
  <si>
    <t>Shankar</t>
  </si>
  <si>
    <t>morajhadi,shrinagar,morajhadi,305402</t>
  </si>
  <si>
    <t>Bhumika Sain</t>
  </si>
  <si>
    <t>Rajesh Sain</t>
  </si>
  <si>
    <t>Lalita Sain</t>
  </si>
  <si>
    <t>XXXX8084</t>
  </si>
  <si>
    <t>Dinesh Regar</t>
  </si>
  <si>
    <t>Kalu Ram</t>
  </si>
  <si>
    <t>Rinku</t>
  </si>
  <si>
    <t>M</t>
  </si>
  <si>
    <t>XXXX8689</t>
  </si>
  <si>
    <t>Jagdish Prajapat</t>
  </si>
  <si>
    <t>Hansraj</t>
  </si>
  <si>
    <t>Prem</t>
  </si>
  <si>
    <t>XXXX9393</t>
  </si>
  <si>
    <t>Khushi</t>
  </si>
  <si>
    <t>Mukesh</t>
  </si>
  <si>
    <t>Shrwani</t>
  </si>
  <si>
    <t>XXXX9543</t>
  </si>
  <si>
    <t>Khushi Jat</t>
  </si>
  <si>
    <t>Parmeshwar</t>
  </si>
  <si>
    <t>Shanti</t>
  </si>
  <si>
    <t>XXXX6362</t>
  </si>
  <si>
    <t>morajhadi ,shrinagar,morajhadi,305402</t>
  </si>
  <si>
    <t>Lokesh Prajapat</t>
  </si>
  <si>
    <t>Hardayal</t>
  </si>
  <si>
    <t>Sona</t>
  </si>
  <si>
    <t>XXXX6114</t>
  </si>
  <si>
    <t>Mansha Jat</t>
  </si>
  <si>
    <t>Prem Chand Jat</t>
  </si>
  <si>
    <t>Gamla Jat</t>
  </si>
  <si>
    <t>XXXX9859</t>
  </si>
  <si>
    <t>Mona</t>
  </si>
  <si>
    <t>Ramesh Chand</t>
  </si>
  <si>
    <t>Gita Devi</t>
  </si>
  <si>
    <t>XXXX2685</t>
  </si>
  <si>
    <t>BHAGWANTPURA,SARWAR,BHAGWANTPURA,305403</t>
  </si>
  <si>
    <t>Monika Prajapat</t>
  </si>
  <si>
    <t>Prakash</t>
  </si>
  <si>
    <t>Parvati</t>
  </si>
  <si>
    <t>XXXX8935</t>
  </si>
  <si>
    <t>Pooja Jat</t>
  </si>
  <si>
    <t>Sharda Devi</t>
  </si>
  <si>
    <t>XXXX5942</t>
  </si>
  <si>
    <t>Priya Jat</t>
  </si>
  <si>
    <t>Ganesh</t>
  </si>
  <si>
    <t>Saroj Devi</t>
  </si>
  <si>
    <t>XXXX5265</t>
  </si>
  <si>
    <t>Radhika</t>
  </si>
  <si>
    <t>Dhanraj</t>
  </si>
  <si>
    <t>Mathra</t>
  </si>
  <si>
    <t>XXXX5589</t>
  </si>
  <si>
    <t>Rajveer Jat</t>
  </si>
  <si>
    <t>Prithviraj</t>
  </si>
  <si>
    <t>Suman Devi</t>
  </si>
  <si>
    <t>XXXX6423</t>
  </si>
  <si>
    <t>Rinku Prajapat</t>
  </si>
  <si>
    <t>Kailash</t>
  </si>
  <si>
    <t>XXXX8744</t>
  </si>
  <si>
    <t>Shivangi</t>
  </si>
  <si>
    <t>Hanuman</t>
  </si>
  <si>
    <t>Chaina</t>
  </si>
  <si>
    <t>XXXX4862</t>
  </si>
  <si>
    <t>Shivani</t>
  </si>
  <si>
    <t>Prithvi Raj</t>
  </si>
  <si>
    <t>XXXX9004</t>
  </si>
  <si>
    <t>Tannu</t>
  </si>
  <si>
    <t>Basram</t>
  </si>
  <si>
    <t>Shila</t>
  </si>
  <si>
    <t>XXXX8326</t>
  </si>
  <si>
    <t>Vinod Choudhary</t>
  </si>
  <si>
    <t>Mangi Lal Choudhary</t>
  </si>
  <si>
    <t>Shobhag Devi Jat</t>
  </si>
  <si>
    <t>XXXX7552</t>
  </si>
  <si>
    <t>MORAJHADI,SHRINAGARA,MORAJHADI,305402</t>
  </si>
  <si>
    <t>Achuki</t>
  </si>
  <si>
    <t>Sanwara</t>
  </si>
  <si>
    <t>Samotra Devi</t>
  </si>
  <si>
    <t>XXXX5082</t>
  </si>
  <si>
    <t>moprajhadi,shri nagar,morajhadi,305402</t>
  </si>
  <si>
    <t>Asha</t>
  </si>
  <si>
    <t>Mahaveer</t>
  </si>
  <si>
    <t>Foola</t>
  </si>
  <si>
    <t>XXXX4366</t>
  </si>
  <si>
    <t>morajhadi,shri nagar,morajhadi,35402</t>
  </si>
  <si>
    <t>Ashika</t>
  </si>
  <si>
    <t>Hariram</t>
  </si>
  <si>
    <t>Lada Devi</t>
  </si>
  <si>
    <t>XXXX1296</t>
  </si>
  <si>
    <t>morajhadi,shri nagar,morajhadi,305402</t>
  </si>
  <si>
    <t>Bhawana Choudhary</t>
  </si>
  <si>
    <t>Mahaveer Prasad Jat</t>
  </si>
  <si>
    <t>Sita</t>
  </si>
  <si>
    <t>XXXX5647</t>
  </si>
  <si>
    <t>Deepak Jat</t>
  </si>
  <si>
    <t>Ramprasad</t>
  </si>
  <si>
    <t>Shila Devi</t>
  </si>
  <si>
    <t>XXXX2722</t>
  </si>
  <si>
    <t>Dilkhush</t>
  </si>
  <si>
    <t>Golu Ram</t>
  </si>
  <si>
    <t>Ramkani</t>
  </si>
  <si>
    <t>XXXX0307</t>
  </si>
  <si>
    <t>Hansa Prajapat</t>
  </si>
  <si>
    <t>Prakash Prajapat</t>
  </si>
  <si>
    <t>XXXX3911</t>
  </si>
  <si>
    <t>KALYANPURA ,Sarwar,Tantoti ,305627</t>
  </si>
  <si>
    <t>Pardhan</t>
  </si>
  <si>
    <t>Mamata</t>
  </si>
  <si>
    <t>XXXX9153</t>
  </si>
  <si>
    <t>Kumkum</t>
  </si>
  <si>
    <t>XXXX6428</t>
  </si>
  <si>
    <t>Mitali prajapat</t>
  </si>
  <si>
    <t>Shetan Prajapat</t>
  </si>
  <si>
    <t>Ramkanya Devi</t>
  </si>
  <si>
    <t>XXXX7768</t>
  </si>
  <si>
    <t>Nesu</t>
  </si>
  <si>
    <t>Ramswarup</t>
  </si>
  <si>
    <t>Bhagawati Devi</t>
  </si>
  <si>
    <t>XXXX1474</t>
  </si>
  <si>
    <t>Payal Bansali</t>
  </si>
  <si>
    <t>Chotu</t>
  </si>
  <si>
    <t>Mamta Devi</t>
  </si>
  <si>
    <t>XXXX2253</t>
  </si>
  <si>
    <t>morajhadi,sheri nagar,morajhadi,305402</t>
  </si>
  <si>
    <t>Priyanka Prajapat</t>
  </si>
  <si>
    <t>Haradayal</t>
  </si>
  <si>
    <t>Sona Devi</t>
  </si>
  <si>
    <t>XXXX3485</t>
  </si>
  <si>
    <t>Radhika Jat</t>
  </si>
  <si>
    <t>Hanuman Jat</t>
  </si>
  <si>
    <t>Kamlesh</t>
  </si>
  <si>
    <t>XXXX9145</t>
  </si>
  <si>
    <t>Y</t>
  </si>
  <si>
    <t>Sonu Bheel</t>
  </si>
  <si>
    <t>Neraj</t>
  </si>
  <si>
    <t>XXXX0001</t>
  </si>
  <si>
    <t>morajhadi,shri nagar,morajhadi,305412</t>
  </si>
  <si>
    <t>Yartika Sain</t>
  </si>
  <si>
    <t>XXXX6548</t>
  </si>
  <si>
    <t>Aamna</t>
  </si>
  <si>
    <t>Shahbuddin</t>
  </si>
  <si>
    <t>Madina Bano</t>
  </si>
  <si>
    <t>XXXX1402</t>
  </si>
  <si>
    <t>V/PO-MORAJHADI,VILL-MORAJHADI ,,305402</t>
  </si>
  <si>
    <t>Anjali</t>
  </si>
  <si>
    <t>XXXX8597</t>
  </si>
  <si>
    <t>Anju</t>
  </si>
  <si>
    <t>Mahendra</t>
  </si>
  <si>
    <t>Kopan</t>
  </si>
  <si>
    <t>XXXX0096</t>
  </si>
  <si>
    <t>Kali</t>
  </si>
  <si>
    <t>XXXX9019</t>
  </si>
  <si>
    <t>Ankit</t>
  </si>
  <si>
    <t>XXXX7750</t>
  </si>
  <si>
    <t>Deepika Jat</t>
  </si>
  <si>
    <t>XXXX0466</t>
  </si>
  <si>
    <t>morajhadi,srinagar,morajhadi,305402</t>
  </si>
  <si>
    <t>Lalaram</t>
  </si>
  <si>
    <t>Mathara</t>
  </si>
  <si>
    <t>XXXX9772</t>
  </si>
  <si>
    <t>Dilkhush Prajapat</t>
  </si>
  <si>
    <t>Dharmichand</t>
  </si>
  <si>
    <t>Neela</t>
  </si>
  <si>
    <t>XXXX6632</t>
  </si>
  <si>
    <t>Happy</t>
  </si>
  <si>
    <t>Naresh</t>
  </si>
  <si>
    <t>Pooja</t>
  </si>
  <si>
    <t>XXXX6499</t>
  </si>
  <si>
    <t>V/PO-MORAJHADI,VILL-MORAJHADI ,morajhadi,305402</t>
  </si>
  <si>
    <t>Kanaram Prajapat</t>
  </si>
  <si>
    <t>Budhraj</t>
  </si>
  <si>
    <t>Sumitra</t>
  </si>
  <si>
    <t>XXXX1435</t>
  </si>
  <si>
    <t>Khusi Prajapat</t>
  </si>
  <si>
    <t>XXXX5841</t>
  </si>
  <si>
    <t>Monika</t>
  </si>
  <si>
    <t>Kanaram</t>
  </si>
  <si>
    <t>Norati Devi</t>
  </si>
  <si>
    <t>XXXX6276</t>
  </si>
  <si>
    <t>Nitesh Jat</t>
  </si>
  <si>
    <t>Sukhdev Jat</t>
  </si>
  <si>
    <t>Samotra</t>
  </si>
  <si>
    <t>XXXX6250</t>
  </si>
  <si>
    <t>Rakesh</t>
  </si>
  <si>
    <t>Heamraj</t>
  </si>
  <si>
    <t>Ladi</t>
  </si>
  <si>
    <t>XXXX6441</t>
  </si>
  <si>
    <t>Rihan Peenara</t>
  </si>
  <si>
    <t>Peeru Peenara</t>
  </si>
  <si>
    <t>Gulshan</t>
  </si>
  <si>
    <t>XXXX4503</t>
  </si>
  <si>
    <t>Shimla</t>
  </si>
  <si>
    <t>Ramraj Jat</t>
  </si>
  <si>
    <t>Rameshwari Devi</t>
  </si>
  <si>
    <t>XXXX7038</t>
  </si>
  <si>
    <t>Sonu</t>
  </si>
  <si>
    <t>Gaytri</t>
  </si>
  <si>
    <t>XXXX5231</t>
  </si>
  <si>
    <t>Virat</t>
  </si>
  <si>
    <t>Ramraj</t>
  </si>
  <si>
    <t>Manju</t>
  </si>
  <si>
    <t>XXXX4918</t>
  </si>
  <si>
    <t>Mahaveer Bheel</t>
  </si>
  <si>
    <t>Mandraj</t>
  </si>
  <si>
    <t>XXXX9382</t>
  </si>
  <si>
    <t>Dhanraj Choudhary</t>
  </si>
  <si>
    <t>Mathara Devi</t>
  </si>
  <si>
    <t>XXXX4161</t>
  </si>
  <si>
    <t>V/PO-MORAJHADI,VILL-MORAJHADI ,Morajhadi,305402</t>
  </si>
  <si>
    <t>Astha Jat</t>
  </si>
  <si>
    <t>Ganesh Jat</t>
  </si>
  <si>
    <t>XXXX8917</t>
  </si>
  <si>
    <t>Bhanu Jat</t>
  </si>
  <si>
    <t>Asha Devi Choudhary</t>
  </si>
  <si>
    <t>XXXX9454</t>
  </si>
  <si>
    <t>Mahavee Bhil</t>
  </si>
  <si>
    <t>XXXX5492</t>
  </si>
  <si>
    <t>Jiya Nat</t>
  </si>
  <si>
    <t>Raju</t>
  </si>
  <si>
    <t>Shobha</t>
  </si>
  <si>
    <t>XXXX7673</t>
  </si>
  <si>
    <t>Kali Jat</t>
  </si>
  <si>
    <t>Ramkanya</t>
  </si>
  <si>
    <t>XXXX4543</t>
  </si>
  <si>
    <t>Khushboo</t>
  </si>
  <si>
    <t>Mahaveer Meghavanshi</t>
  </si>
  <si>
    <t>Fornta</t>
  </si>
  <si>
    <t>XXXX1900</t>
  </si>
  <si>
    <t>Kiran Bhil</t>
  </si>
  <si>
    <t>Bablu Bhil</t>
  </si>
  <si>
    <t>Rekha Devi</t>
  </si>
  <si>
    <t>XXXX6724</t>
  </si>
  <si>
    <t>Komal prajapat</t>
  </si>
  <si>
    <t>Panchu prajapat</t>
  </si>
  <si>
    <t>Maya</t>
  </si>
  <si>
    <t>XXXX8963</t>
  </si>
  <si>
    <t>Mangli Prajapat</t>
  </si>
  <si>
    <t>Bhagchand Prajapat</t>
  </si>
  <si>
    <t>Panchi Devi</t>
  </si>
  <si>
    <t>XXXX1287</t>
  </si>
  <si>
    <t>Mansha Prajapat</t>
  </si>
  <si>
    <t>XXXX2805</t>
  </si>
  <si>
    <t>Pawan Prajapat</t>
  </si>
  <si>
    <t>Basram Prajapat</t>
  </si>
  <si>
    <t>Annu</t>
  </si>
  <si>
    <t>XXXX2031</t>
  </si>
  <si>
    <t>Pradeep Jat</t>
  </si>
  <si>
    <t>XXXX3317</t>
  </si>
  <si>
    <t>Pritam Choudhary</t>
  </si>
  <si>
    <t>Sharda Choudhary</t>
  </si>
  <si>
    <t>Radhika Choudhari</t>
  </si>
  <si>
    <t>Kailash Chand</t>
  </si>
  <si>
    <t>Sunita</t>
  </si>
  <si>
    <t>XXXX7216</t>
  </si>
  <si>
    <t>Raju Prajapat</t>
  </si>
  <si>
    <t>Omprakash Prajapat</t>
  </si>
  <si>
    <t>Sushila Devi</t>
  </si>
  <si>
    <t>XXXX3430</t>
  </si>
  <si>
    <t>Rinku Nat</t>
  </si>
  <si>
    <t>XXXX0215</t>
  </si>
  <si>
    <t>Samar Choudhary</t>
  </si>
  <si>
    <t>Mahendra Choudhary</t>
  </si>
  <si>
    <t>Amrit Devi</t>
  </si>
  <si>
    <t>XXXX7869</t>
  </si>
  <si>
    <t>mavshiya,shrinagar,mavshiya,305402</t>
  </si>
  <si>
    <t>Sannu Jat</t>
  </si>
  <si>
    <t>Ranswarup</t>
  </si>
  <si>
    <t>Bhagwati</t>
  </si>
  <si>
    <t>XXXX3484</t>
  </si>
  <si>
    <t>Sukhpal Jat</t>
  </si>
  <si>
    <t>Supyar Devi</t>
  </si>
  <si>
    <t>V/PO-bhatiyani,masuda,,305402</t>
  </si>
  <si>
    <t>Surjeet Jat</t>
  </si>
  <si>
    <t>Omprakash</t>
  </si>
  <si>
    <t>Surgyan</t>
  </si>
  <si>
    <t>XXXX8506</t>
  </si>
  <si>
    <t>Tannu Bansali</t>
  </si>
  <si>
    <t>Sonu Devi</t>
  </si>
  <si>
    <t>Vikash</t>
  </si>
  <si>
    <t>Pankaj Harijan</t>
  </si>
  <si>
    <t>Savita</t>
  </si>
  <si>
    <t>XXXX7307</t>
  </si>
  <si>
    <t>vikash jat</t>
  </si>
  <si>
    <t>Hariram jat</t>
  </si>
  <si>
    <t>Guman Jat</t>
  </si>
  <si>
    <t>XXXX3198</t>
  </si>
  <si>
    <t>Vikram Prajapat</t>
  </si>
  <si>
    <t>XXXX8075</t>
  </si>
  <si>
    <t>Anita</t>
  </si>
  <si>
    <t>Ramsingh</t>
  </si>
  <si>
    <t>Neela Devi</t>
  </si>
  <si>
    <t>XXXX9026</t>
  </si>
  <si>
    <t>XXXX7596</t>
  </si>
  <si>
    <t>Shankar Choudhary</t>
  </si>
  <si>
    <t>XXXX5587</t>
  </si>
  <si>
    <t>XXXX4606</t>
  </si>
  <si>
    <t>Anuska Choudhary</t>
  </si>
  <si>
    <t>Sanwar Lal Choudhary</t>
  </si>
  <si>
    <t>Asha Prajapat</t>
  </si>
  <si>
    <t>Pankaj Kumar</t>
  </si>
  <si>
    <t>Kanchan</t>
  </si>
  <si>
    <t>GORA PRAJAPAT</t>
  </si>
  <si>
    <t>HARADAYAL PRAJAPAT</t>
  </si>
  <si>
    <t>SONA DEVI</t>
  </si>
  <si>
    <t>XXXX2149</t>
  </si>
  <si>
    <t>yioomio</t>
  </si>
  <si>
    <t>121, Gano ki guvadi,Shrinagar,Morajhadi,305402</t>
  </si>
  <si>
    <t>Harshit Tak</t>
  </si>
  <si>
    <t>Mukesh Kumar Tak</t>
  </si>
  <si>
    <t>Dhanni Devi</t>
  </si>
  <si>
    <t>XXXX4633</t>
  </si>
  <si>
    <t>v/po-gothiyana teh-arain dist-ajmer,AJMER,gothiyana,305813</t>
  </si>
  <si>
    <t>Havish Tak</t>
  </si>
  <si>
    <t>XXXX9079</t>
  </si>
  <si>
    <t>Hemraj</t>
  </si>
  <si>
    <t>Ramnarayan</t>
  </si>
  <si>
    <t>XXXX6786</t>
  </si>
  <si>
    <t>Kanta Prajapat</t>
  </si>
  <si>
    <t>Dhulaya Prajapat</t>
  </si>
  <si>
    <t>Manbhar Devi</t>
  </si>
  <si>
    <t>XXXX9671</t>
  </si>
  <si>
    <t>KARISHMA CHOUDHARY</t>
  </si>
  <si>
    <t>Gopiram Choudhary</t>
  </si>
  <si>
    <t>Seema Devi</t>
  </si>
  <si>
    <t>XXXX3894</t>
  </si>
  <si>
    <t>VILL-KHERIYA KHURD,AJMER,,305402</t>
  </si>
  <si>
    <t>Krishna Prajapat</t>
  </si>
  <si>
    <t>Ramlal</t>
  </si>
  <si>
    <t>Savitri</t>
  </si>
  <si>
    <t>XXXX6046</t>
  </si>
  <si>
    <t>Ramprasad Jat</t>
  </si>
  <si>
    <t>Radha Devi</t>
  </si>
  <si>
    <t>XXXX9793</t>
  </si>
  <si>
    <t>Monu Choudhary</t>
  </si>
  <si>
    <t>Santosh</t>
  </si>
  <si>
    <t>XXXX3579</t>
  </si>
  <si>
    <t>VILL-RAGHUNATHPURA KHEDA,AJMER,RAGHUNATHPURA KHEDA,305402</t>
  </si>
  <si>
    <t>Nandram Jat</t>
  </si>
  <si>
    <t>Seeta Devi</t>
  </si>
  <si>
    <t>XXXX6004</t>
  </si>
  <si>
    <t>Nirmal Jat</t>
  </si>
  <si>
    <t>Kamalesh</t>
  </si>
  <si>
    <t>Pooja Prajapat</t>
  </si>
  <si>
    <t>Laxman Prajapat</t>
  </si>
  <si>
    <t>Kanchan Devi</t>
  </si>
  <si>
    <t>XXXX9602</t>
  </si>
  <si>
    <t>morajhadi,sringar,morajhadi,305402</t>
  </si>
  <si>
    <t>Govind Jat</t>
  </si>
  <si>
    <t>Jivani Devi</t>
  </si>
  <si>
    <t>XXXX7095</t>
  </si>
  <si>
    <t>Premchand Prajapat</t>
  </si>
  <si>
    <t>XXXX1929</t>
  </si>
  <si>
    <t>XXXX9326</t>
  </si>
  <si>
    <t>Madhopura,Sarwar,Madhopura,305601</t>
  </si>
  <si>
    <t>Arjun</t>
  </si>
  <si>
    <t>XXXX1558</t>
  </si>
  <si>
    <t>Rahul Bheel</t>
  </si>
  <si>
    <t>Chhotu Bheel</t>
  </si>
  <si>
    <t>Sampati Devi</t>
  </si>
  <si>
    <t>XXXX6192</t>
  </si>
  <si>
    <t>Rahul Prajapat</t>
  </si>
  <si>
    <t>XXXX2297</t>
  </si>
  <si>
    <t>Ranjeet Jat</t>
  </si>
  <si>
    <t>Om Prakash</t>
  </si>
  <si>
    <t>Rohit Prajapat</t>
  </si>
  <si>
    <t>Ram Singh Prajapat</t>
  </si>
  <si>
    <t>XXXX6318</t>
  </si>
  <si>
    <t>Sachin Bansali</t>
  </si>
  <si>
    <t>Ramraj Bansali</t>
  </si>
  <si>
    <t>Manju Devi</t>
  </si>
  <si>
    <t>XXXX5094</t>
  </si>
  <si>
    <t>morajhadi,SRINAGR,morajhadi,305402</t>
  </si>
  <si>
    <t>Sagar</t>
  </si>
  <si>
    <t>XXXX0870</t>
  </si>
  <si>
    <t>Sarita Prajapat</t>
  </si>
  <si>
    <t>Maina</t>
  </si>
  <si>
    <t>XXXX1852</t>
  </si>
  <si>
    <t>Suman Bheel</t>
  </si>
  <si>
    <t>XXXX2904</t>
  </si>
  <si>
    <t>Sunil Meghwanshi</t>
  </si>
  <si>
    <t>Seetaram Meghwanshi</t>
  </si>
  <si>
    <t>Maya Devi</t>
  </si>
  <si>
    <t>XXXX6702</t>
  </si>
  <si>
    <t>Surendra Prajapat</t>
  </si>
  <si>
    <t>Ramlal Prajapat</t>
  </si>
  <si>
    <t>Rekha</t>
  </si>
  <si>
    <t>XXXX8278</t>
  </si>
  <si>
    <t>Vikash Prajapat</t>
  </si>
  <si>
    <t>Prabhu Lal</t>
  </si>
  <si>
    <t>Ramsuvar</t>
  </si>
  <si>
    <t>XXXX0609</t>
  </si>
  <si>
    <t>ADESH CHOUDHARY</t>
  </si>
  <si>
    <t>SARDAR CHOUDHARY</t>
  </si>
  <si>
    <t>SURGYAN DEVI</t>
  </si>
  <si>
    <t>XXXX4784</t>
  </si>
  <si>
    <t>vnpvnjv</t>
  </si>
  <si>
    <t>Jato ka mohalla,Shrinagar,Morajhadi,305402</t>
  </si>
  <si>
    <t>Nila Devi</t>
  </si>
  <si>
    <t>XXXX2925</t>
  </si>
  <si>
    <t>Ankar Jat</t>
  </si>
  <si>
    <t>Dhanraj Jat</t>
  </si>
  <si>
    <t>Kopan Devi</t>
  </si>
  <si>
    <t>XXXX2729</t>
  </si>
  <si>
    <t>VILL-RAGHUNATHPURA KHEDA,AJMER,,305402</t>
  </si>
  <si>
    <t>ANKIT JAT</t>
  </si>
  <si>
    <t>JAI SINGH JAT</t>
  </si>
  <si>
    <t>NARBDA DEVI</t>
  </si>
  <si>
    <t>XXXX9754</t>
  </si>
  <si>
    <t>voocjwv</t>
  </si>
  <si>
    <t>Morajhadi,Shrinagar,Morajhadi,305402</t>
  </si>
  <si>
    <t>DILIP CHOUDHARY</t>
  </si>
  <si>
    <t>PRADHAN CHOUDHARY</t>
  </si>
  <si>
    <t>PARVATI DEVI</t>
  </si>
  <si>
    <t>XXXX7043</t>
  </si>
  <si>
    <t>VPO MORAJHADI,SRINAGAR,,305402</t>
  </si>
  <si>
    <t>Dinesh Prajapat</t>
  </si>
  <si>
    <t>Kailash Prajapat</t>
  </si>
  <si>
    <t>Parwati</t>
  </si>
  <si>
    <t>XXXX3547</t>
  </si>
  <si>
    <t>Gyanwanti Devi Bheel</t>
  </si>
  <si>
    <t>Nathu Bheel</t>
  </si>
  <si>
    <t>Village Dhanma post Fathegarh teh sarwar disttAjmer,Sarwar,Dhanma,305412</t>
  </si>
  <si>
    <t>KHUSHIRAM PRAJAPAT</t>
  </si>
  <si>
    <t>RAMLAL PRAJAPAT</t>
  </si>
  <si>
    <t>SAVITRI DEVI</t>
  </si>
  <si>
    <t>XXXX8807</t>
  </si>
  <si>
    <t>yiiuaub</t>
  </si>
  <si>
    <t>121, Balai Mohalla,Shrinagar,Morajhadi,305402</t>
  </si>
  <si>
    <t>Kiran Devi Bheel</t>
  </si>
  <si>
    <t>Shaitan Bheel</t>
  </si>
  <si>
    <t>Mathra Devi</t>
  </si>
  <si>
    <t>XXXX3421</t>
  </si>
  <si>
    <t>Village-keriya khurd, post-morajhari, via-ramsar, tehsil-nasirabad, district-ajmer ,srinagar,keriyakhurd,305402</t>
  </si>
  <si>
    <t>KOMAL CHOUDHARY</t>
  </si>
  <si>
    <t>DHANRAJ CHOUDHARY</t>
  </si>
  <si>
    <t>MATHRA DEVI</t>
  </si>
  <si>
    <t>XXXX9829</t>
  </si>
  <si>
    <t>Komal Jat</t>
  </si>
  <si>
    <t>Hemraj Jat</t>
  </si>
  <si>
    <t>Ladi Devi</t>
  </si>
  <si>
    <t>XXXX4062</t>
  </si>
  <si>
    <t>yiakfos</t>
  </si>
  <si>
    <t>Keriya Khurd,Shrinagar,Keriya Khurd,305402</t>
  </si>
  <si>
    <t>LOKESH PRAJAPAT</t>
  </si>
  <si>
    <t>PARASA RAM PRAJAPAT</t>
  </si>
  <si>
    <t>GANESHI DEVI</t>
  </si>
  <si>
    <t>XXXX2433</t>
  </si>
  <si>
    <t>VNHKZOV</t>
  </si>
  <si>
    <t>MAHENDRA CHOUDHARY</t>
  </si>
  <si>
    <t>RAMDAYAL CHOUDHARY</t>
  </si>
  <si>
    <t>SAMPAT DEVI</t>
  </si>
  <si>
    <t>XXXX2525</t>
  </si>
  <si>
    <t>MAHIPAL CHOUDHARY</t>
  </si>
  <si>
    <t>KANARAM CHOUDHARY</t>
  </si>
  <si>
    <t>INDRA DEVI</t>
  </si>
  <si>
    <t>XXXX2405</t>
  </si>
  <si>
    <t>bagusis</t>
  </si>
  <si>
    <t>raghunathpura,Shrinagar,Morajhadi,305402</t>
  </si>
  <si>
    <t>Mamta Choudhary</t>
  </si>
  <si>
    <t>Kaluram Choudhary</t>
  </si>
  <si>
    <t>Ganga Devi</t>
  </si>
  <si>
    <t>XXXX0277</t>
  </si>
  <si>
    <t>Village-keriya khurd, post-morajhari, via-ramsar, tehsil-nasirabad, district-ajmer ,srinagar,keriyakhurds,305402</t>
  </si>
  <si>
    <t>Mangal Jat</t>
  </si>
  <si>
    <t>Lalaram Jat</t>
  </si>
  <si>
    <t>mathara devi</t>
  </si>
  <si>
    <t>XXXX1947</t>
  </si>
  <si>
    <t>wxwbjzh</t>
  </si>
  <si>
    <t>Manisha</t>
  </si>
  <si>
    <t>Shankar Lal</t>
  </si>
  <si>
    <t>Mamata Devi</t>
  </si>
  <si>
    <t>XXXX4852</t>
  </si>
  <si>
    <t>Manisha Devi Meghwanshi</t>
  </si>
  <si>
    <t>Rajendra Meghwanshi</t>
  </si>
  <si>
    <t>XXXX8467</t>
  </si>
  <si>
    <t>MANSA KUMHAR</t>
  </si>
  <si>
    <t>SANWARA KUMHAR</t>
  </si>
  <si>
    <t>SAMOTRA DEVI</t>
  </si>
  <si>
    <t>MAHAVEER KUMHAR</t>
  </si>
  <si>
    <t>FOOLA DEVI</t>
  </si>
  <si>
    <t>XXXX6763</t>
  </si>
  <si>
    <t>vpgvgwm</t>
  </si>
  <si>
    <t>Mohammad Ikbal</t>
  </si>
  <si>
    <t>Chhotu</t>
  </si>
  <si>
    <t>MEHRUN BANO</t>
  </si>
  <si>
    <t>Muslim</t>
  </si>
  <si>
    <t>XXXX3975</t>
  </si>
  <si>
    <t>Sapronda Road,Shrinagar,Morajhri,305402</t>
  </si>
  <si>
    <t>Yes</t>
  </si>
  <si>
    <t>MOHIT JAT</t>
  </si>
  <si>
    <t>PRADHAN JAT</t>
  </si>
  <si>
    <t>MAMTA</t>
  </si>
  <si>
    <t>XXXX9951</t>
  </si>
  <si>
    <t>vgxgvbv</t>
  </si>
  <si>
    <t>MOHIT MEGHWANSHI</t>
  </si>
  <si>
    <t>HANUMAN MEGHWANSHI</t>
  </si>
  <si>
    <t>MAMTA DEVI</t>
  </si>
  <si>
    <t>XXXX9133</t>
  </si>
  <si>
    <t>VPPGRGV</t>
  </si>
  <si>
    <t>MONIKA CHOUDHARY</t>
  </si>
  <si>
    <t>MANGILAL CHOUDHARY</t>
  </si>
  <si>
    <t>SHOBHAG DEVI</t>
  </si>
  <si>
    <t>XXXX7526</t>
  </si>
  <si>
    <t>ysgukmw</t>
  </si>
  <si>
    <t>NARENDRA JAT</t>
  </si>
  <si>
    <t>KAILASH JAT</t>
  </si>
  <si>
    <t>XXXX4077</t>
  </si>
  <si>
    <t>yksowoo</t>
  </si>
  <si>
    <t>Neela Devi Bheel</t>
  </si>
  <si>
    <t>Raju Bheel</t>
  </si>
  <si>
    <t>Sunita devi</t>
  </si>
  <si>
    <t>OMPRAKASH KUMHAR</t>
  </si>
  <si>
    <t>PARBHU KUMHAR</t>
  </si>
  <si>
    <t>SITA DEVI</t>
  </si>
  <si>
    <t>XXXX6662</t>
  </si>
  <si>
    <t>yigmffw</t>
  </si>
  <si>
    <t>Morajhadi,Sharinagar,Morajhadi,305402</t>
  </si>
  <si>
    <t>Gopiram</t>
  </si>
  <si>
    <t>Seema</t>
  </si>
  <si>
    <t>XXXX6155</t>
  </si>
  <si>
    <t>PRADEEP JAT</t>
  </si>
  <si>
    <t>RAJESH JAT</t>
  </si>
  <si>
    <t>XXXX4836</t>
  </si>
  <si>
    <t>YIGBUDG</t>
  </si>
  <si>
    <t>Priya</t>
  </si>
  <si>
    <t>Kani Devi</t>
  </si>
  <si>
    <t>XXXX3651</t>
  </si>
  <si>
    <t>Priyanka Jat</t>
  </si>
  <si>
    <t>Surgyan Devi</t>
  </si>
  <si>
    <t>XXXX8768</t>
  </si>
  <si>
    <t>Mahaveer Bhil</t>
  </si>
  <si>
    <t>XXXX6554</t>
  </si>
  <si>
    <t>RADHIKA JAT</t>
  </si>
  <si>
    <t>MISHRI LAL JAT</t>
  </si>
  <si>
    <t>KALI DEVI</t>
  </si>
  <si>
    <t>XXXX0958</t>
  </si>
  <si>
    <t>Rahul Choudhary</t>
  </si>
  <si>
    <t>Ramraj Choudhary</t>
  </si>
  <si>
    <t>Bhuri Devi</t>
  </si>
  <si>
    <t>XXXX2236</t>
  </si>
  <si>
    <t>Village-keriya khurd, post-morajhari, via-ramsar, tehsil-nasirabad, district-ajmer ,SRINAGAR,KERIYAKHURD,305402</t>
  </si>
  <si>
    <t>Rahul Jat</t>
  </si>
  <si>
    <t>Prasann</t>
  </si>
  <si>
    <t>Norati</t>
  </si>
  <si>
    <t>XXXX4344</t>
  </si>
  <si>
    <t>SURAJPURA,SRINAGAR,SURAJPURA,305813</t>
  </si>
  <si>
    <t>Ranjeet</t>
  </si>
  <si>
    <t>Mangal Chand Jat</t>
  </si>
  <si>
    <t>Kanta Devi</t>
  </si>
  <si>
    <t>XXXX4517</t>
  </si>
  <si>
    <t>RITIKA CHOUDHARY</t>
  </si>
  <si>
    <t>Hansraj Choudhary</t>
  </si>
  <si>
    <t>Manraj</t>
  </si>
  <si>
    <t>keriya khurd,shrinagar,keriya khurd,305402</t>
  </si>
  <si>
    <t>Ritika Gurjar</t>
  </si>
  <si>
    <t>Mangal Chand Gurjar</t>
  </si>
  <si>
    <t>Nepal Devi</t>
  </si>
  <si>
    <t>XXXX8662</t>
  </si>
  <si>
    <t>Salma Bano</t>
  </si>
  <si>
    <t>XXXX6436</t>
  </si>
  <si>
    <t>Saprona Road,Shrinagar,Morajhri,305402</t>
  </si>
  <si>
    <t>Sannu Bheel</t>
  </si>
  <si>
    <t>Pappu Bheel</t>
  </si>
  <si>
    <t>Maina Devi</t>
  </si>
  <si>
    <t>XXXX6720</t>
  </si>
  <si>
    <t>SEEMA PRAJAPAT</t>
  </si>
  <si>
    <t>GANESH PRAJAPAT</t>
  </si>
  <si>
    <t>ASHA DEVI</t>
  </si>
  <si>
    <t>XXXX3718</t>
  </si>
  <si>
    <t>YIAYYKW</t>
  </si>
  <si>
    <t>Sonika Jat</t>
  </si>
  <si>
    <t>Prabhu Jat</t>
  </si>
  <si>
    <t>Surma Devi</t>
  </si>
  <si>
    <t>XXXX3733</t>
  </si>
  <si>
    <t>Sunil Choudhary</t>
  </si>
  <si>
    <t>Parmeshwar Choudhary</t>
  </si>
  <si>
    <t>Geeta Devi</t>
  </si>
  <si>
    <t>XXXX3968</t>
  </si>
  <si>
    <t>SUNIL LUHAR</t>
  </si>
  <si>
    <t>RAMKARAN LUHAR</t>
  </si>
  <si>
    <t>XXXX1817</t>
  </si>
  <si>
    <t>YUEWBWK</t>
  </si>
  <si>
    <t>NCC</t>
  </si>
  <si>
    <t>SUNITA BANSALI</t>
  </si>
  <si>
    <t>RAMRAJ BANSALI</t>
  </si>
  <si>
    <t>MANJU DEVI</t>
  </si>
  <si>
    <t>XXXX1389</t>
  </si>
  <si>
    <t>SUNITA JAT</t>
  </si>
  <si>
    <t>RAMNIWAS JAT</t>
  </si>
  <si>
    <t>SEEMA DEVI</t>
  </si>
  <si>
    <t>XXXX3440</t>
  </si>
  <si>
    <t>SUNITA PRAJAPAT</t>
  </si>
  <si>
    <t>PRAKASH PRAJAPAT</t>
  </si>
  <si>
    <t>PARWATI DEVI</t>
  </si>
  <si>
    <t>XXXX4995</t>
  </si>
  <si>
    <t>Suraj Prajapat</t>
  </si>
  <si>
    <t>XXXX5505</t>
  </si>
  <si>
    <t>TEJU PRAJAPAT</t>
  </si>
  <si>
    <t>DHOOLA RAM PRAJAPAT</t>
  </si>
  <si>
    <t>MANBHAR DEVI</t>
  </si>
  <si>
    <t>XXXX6284</t>
  </si>
  <si>
    <t>YGDGOCG</t>
  </si>
  <si>
    <t>Vikas Choudhary</t>
  </si>
  <si>
    <t>Gopal</t>
  </si>
  <si>
    <t>VISHNU CHOUDHARY</t>
  </si>
  <si>
    <t>HATHI RAM</t>
  </si>
  <si>
    <t>GUMAN DEVI</t>
  </si>
  <si>
    <t>XXXX9856</t>
  </si>
  <si>
    <t>vkgcwwr</t>
  </si>
  <si>
    <t>AASHU CHOUDHARY</t>
  </si>
  <si>
    <t>HARIRAM CHOUDHARY</t>
  </si>
  <si>
    <t>RAMSWARI DEVI</t>
  </si>
  <si>
    <t>XXXX1574</t>
  </si>
  <si>
    <t>YIWSWQO</t>
  </si>
  <si>
    <t>Abhishek Choudhary</t>
  </si>
  <si>
    <t>Bheru Lal Choudhary</t>
  </si>
  <si>
    <t>XXXX8858</t>
  </si>
  <si>
    <t>v.keriya khurd po.morajhadi via ramsar teh.nasirabad,srinagar,keriya khurd,305402</t>
  </si>
  <si>
    <t>Anjali Devi Bheel</t>
  </si>
  <si>
    <t>Bhannu Bheel</t>
  </si>
  <si>
    <t>Jashoda Devi Bheel</t>
  </si>
  <si>
    <t>keriya khurd,shri nagar,keriya khurd,305402</t>
  </si>
  <si>
    <t>ANJU JAT</t>
  </si>
  <si>
    <t>SAMBHU DEVI</t>
  </si>
  <si>
    <t>XXXX9285</t>
  </si>
  <si>
    <t>VGZZVWT</t>
  </si>
  <si>
    <t>ASHAD ALI</t>
  </si>
  <si>
    <t>SHAHBUDDIN KURESHI</t>
  </si>
  <si>
    <t>MADEENA BANO</t>
  </si>
  <si>
    <t>XXXX7023</t>
  </si>
  <si>
    <t>ASHARAM PRAJAPAT</t>
  </si>
  <si>
    <t>RAMSUKH PRAJAPAT</t>
  </si>
  <si>
    <t>NORATI DEVI</t>
  </si>
  <si>
    <t>XXXX0509</t>
  </si>
  <si>
    <t>BALRAM PRAJAPAT</t>
  </si>
  <si>
    <t>OMPRAKASH PRAJAPAT</t>
  </si>
  <si>
    <t>SUSHILA DEVI</t>
  </si>
  <si>
    <t>XXXX5262</t>
  </si>
  <si>
    <t>YIYUUKC</t>
  </si>
  <si>
    <t>CHARAN</t>
  </si>
  <si>
    <t>BRHMANAND JAT</t>
  </si>
  <si>
    <t>BADAM DEVI</t>
  </si>
  <si>
    <t>XXXX8555</t>
  </si>
  <si>
    <t>KHEDA RAGHUNATHPURA,SHREENAGAR,KHEDA RAGHUNATHPURA,305402</t>
  </si>
  <si>
    <t>DINESH MEGHAWANSHI</t>
  </si>
  <si>
    <t>SHAUKIN MEGHAWANSHI</t>
  </si>
  <si>
    <t>KANCHAN DEVI</t>
  </si>
  <si>
    <t>XXXX1735</t>
  </si>
  <si>
    <t>vtgggon</t>
  </si>
  <si>
    <t>INKAR JAT</t>
  </si>
  <si>
    <t>KANARAM JAT</t>
  </si>
  <si>
    <t>XXXX9564</t>
  </si>
  <si>
    <t>YKSOWGK</t>
  </si>
  <si>
    <t>JAISINGH BHEEL</t>
  </si>
  <si>
    <t>SHAITAN RAM BHEEL</t>
  </si>
  <si>
    <t>XXXX4042</t>
  </si>
  <si>
    <t>v.keriya khurd po.morajhadi via RAMSAR teh.nasirabad,srinagar,keriya khurd,305402</t>
  </si>
  <si>
    <t>JEETU RAIDAS</t>
  </si>
  <si>
    <t>NARESH RAIDAS</t>
  </si>
  <si>
    <t>POOJA DEVI</t>
  </si>
  <si>
    <t>XXXX9924</t>
  </si>
  <si>
    <t>YBCWBQC</t>
  </si>
  <si>
    <t>KALPNA HARIJAN</t>
  </si>
  <si>
    <t>PINKU HARIJAN</t>
  </si>
  <si>
    <t>SAVITA</t>
  </si>
  <si>
    <t>XXXX4711</t>
  </si>
  <si>
    <t>yimymbc</t>
  </si>
  <si>
    <t>KHUSHBU</t>
  </si>
  <si>
    <t>SATYANARAYAN NAYAK</t>
  </si>
  <si>
    <t>Komal Devi Choudhary</t>
  </si>
  <si>
    <t>Basram Choudhary</t>
  </si>
  <si>
    <t>Nyali Devi</t>
  </si>
  <si>
    <t>keriya khurd,shri nagar,keriya khurd ,305402</t>
  </si>
  <si>
    <t>KOMAL JAT</t>
  </si>
  <si>
    <t>GOPAL JAT</t>
  </si>
  <si>
    <t>XXXX5253</t>
  </si>
  <si>
    <t>SHANKAR LAL CHOUDHARY</t>
  </si>
  <si>
    <t>XXXX9470</t>
  </si>
  <si>
    <t>VGWGCXJ</t>
  </si>
  <si>
    <t>KALYAN JAT</t>
  </si>
  <si>
    <t>PRAKASH DEVI</t>
  </si>
  <si>
    <t>XXXX4648</t>
  </si>
  <si>
    <t>VILL JHADOL,ARAIN,,305402</t>
  </si>
  <si>
    <t>KOSHYLYA</t>
  </si>
  <si>
    <t>DINESH JAT</t>
  </si>
  <si>
    <t>CHANTA DEVI</t>
  </si>
  <si>
    <t>XXXX7547</t>
  </si>
  <si>
    <t>LAKHIRAM MEGHWANSHI</t>
  </si>
  <si>
    <t>HEMRAJ</t>
  </si>
  <si>
    <t>MAYA DEVI</t>
  </si>
  <si>
    <t>XXXX4685</t>
  </si>
  <si>
    <t>v.keriya khurd po.morajhadi via ramsar teh. nasirabad,srinagar,keriya khurd,305402</t>
  </si>
  <si>
    <t>MANU</t>
  </si>
  <si>
    <t>CHHOTU</t>
  </si>
  <si>
    <t>SALMA</t>
  </si>
  <si>
    <t>XXXX4219</t>
  </si>
  <si>
    <t>MONIKA JAT</t>
  </si>
  <si>
    <t>PRABHU JAT</t>
  </si>
  <si>
    <t>SURMA DEVI</t>
  </si>
  <si>
    <t>XXXX6235</t>
  </si>
  <si>
    <t>keriya khurd,srinagar,keriya khurd,305402</t>
  </si>
  <si>
    <t>Parina</t>
  </si>
  <si>
    <t>Sattar</t>
  </si>
  <si>
    <t>Mafiya bano</t>
  </si>
  <si>
    <t>XXXX0152</t>
  </si>
  <si>
    <t>Teli Mohalla,Shrinagar,Morajhdi,305402</t>
  </si>
  <si>
    <t>PAYAL</t>
  </si>
  <si>
    <t>SHAITAN GURJAR</t>
  </si>
  <si>
    <t>LADA DEVI</t>
  </si>
  <si>
    <t>XXXX6223</t>
  </si>
  <si>
    <t>PINKY DEVI CHOUDHARY</t>
  </si>
  <si>
    <t>XXXX7685</t>
  </si>
  <si>
    <t>POOJA JAT</t>
  </si>
  <si>
    <t>XXXX3086</t>
  </si>
  <si>
    <t>VILLAGE POST BHAGWANTPURA,ARAIN,VIA NASIRABAD,305601</t>
  </si>
  <si>
    <t>RAMSINGH BHEEL</t>
  </si>
  <si>
    <t>RAJU BHEEL</t>
  </si>
  <si>
    <t>SUNITA DEVI</t>
  </si>
  <si>
    <t>XXXX8446</t>
  </si>
  <si>
    <t>V.keriya khurd Po.morajhadi via ramsar teh.nasirabad dist.Ajmer,Srinagar,Keriya khurd,305402</t>
  </si>
  <si>
    <t>RINKU PRAJAPAT</t>
  </si>
  <si>
    <t>XXXX5194</t>
  </si>
  <si>
    <t>SANOJ DEVI BHEEL</t>
  </si>
  <si>
    <t>SHANKAR LAL BHEEL</t>
  </si>
  <si>
    <t>MANJU DEVI BHEEL</t>
  </si>
  <si>
    <t>XXXX8658</t>
  </si>
  <si>
    <t>v.keriyakhurd po.morajhdi vaya ramsar teh.nasirabad,srinagar,keriyakhurd,305402</t>
  </si>
  <si>
    <t>SUMAN JAT</t>
  </si>
  <si>
    <t>HATHI RAM JAT</t>
  </si>
  <si>
    <t>GUMAN</t>
  </si>
  <si>
    <t>XXXX4639</t>
  </si>
  <si>
    <t>VKGCWWR</t>
  </si>
  <si>
    <t>Late</t>
  </si>
  <si>
    <t>BHAG CHAND JAT</t>
  </si>
  <si>
    <t>MEERA JAT</t>
  </si>
  <si>
    <t>XXXX5317</t>
  </si>
  <si>
    <t>KERIYA KHURD MORAJHDI,SRINAGAR,SAMPRODA,305601</t>
  </si>
  <si>
    <t>SUMAN PRAJAPAT</t>
  </si>
  <si>
    <t>VILL MORAJHADI,TEH NASIRABAD,,305402</t>
  </si>
  <si>
    <t>SURENDRA</t>
  </si>
  <si>
    <t>SHAITAN JAT</t>
  </si>
  <si>
    <t>GHMLA DEVI</t>
  </si>
  <si>
    <t>XXXX4953</t>
  </si>
  <si>
    <t>VIKAS CHOUDHARY</t>
  </si>
  <si>
    <t>RAMRATAN CHOUDHARY</t>
  </si>
  <si>
    <t>SITA CHOUDAHRY</t>
  </si>
  <si>
    <t>GADERI,SRINAGAR,,305601</t>
  </si>
  <si>
    <t>Rajendra</t>
  </si>
  <si>
    <t>Rampyari</t>
  </si>
  <si>
    <t>XXXX2069</t>
  </si>
  <si>
    <t>Amar Singh Bheel</t>
  </si>
  <si>
    <t>Premchand Bheel</t>
  </si>
  <si>
    <t>Nathi Devi</t>
  </si>
  <si>
    <t>ANITA PRAJAPAT</t>
  </si>
  <si>
    <t>BHAGCHAND PRAJAPAT</t>
  </si>
  <si>
    <t>JETHI DEVI</t>
  </si>
  <si>
    <t>XXXX6924</t>
  </si>
  <si>
    <t>VILL MORAJHADI,SRINAGAR,,305402</t>
  </si>
  <si>
    <t>DAMODAR JAT</t>
  </si>
  <si>
    <t>KAILASH CHAND JAT</t>
  </si>
  <si>
    <t>XXXX5630</t>
  </si>
  <si>
    <t>YKSOWOO</t>
  </si>
  <si>
    <t>Deepak Vaishnav</t>
  </si>
  <si>
    <t>Satyanarayan Vaishnav</t>
  </si>
  <si>
    <t>XXXX0731</t>
  </si>
  <si>
    <t>HANSA PRAJAPAT</t>
  </si>
  <si>
    <t>NORTI DEVI</t>
  </si>
  <si>
    <t>XXXX8961</t>
  </si>
  <si>
    <t>KAMLESH JAT</t>
  </si>
  <si>
    <t>SHYONARAYAN JAT</t>
  </si>
  <si>
    <t>NERAJ JAT</t>
  </si>
  <si>
    <t>XXXX7335</t>
  </si>
  <si>
    <t>JATO KA MOHALLA,ARAIN,DEVPURI,305801</t>
  </si>
  <si>
    <t>KAVITA MEGHWANSHI</t>
  </si>
  <si>
    <t>TEJU RAM</t>
  </si>
  <si>
    <t>?????? ????? ,????????,?????,305402</t>
  </si>
  <si>
    <t>KHUSHBU DEVI BHEEL</t>
  </si>
  <si>
    <t>XXXX3296</t>
  </si>
  <si>
    <t>V.keriyakhurd Po.morajhdi vaya damdar teh.nasirabad dist ajmer,Srinagar,Keriyakhurd,302405</t>
  </si>
  <si>
    <t>KHUSHI RAM JAT</t>
  </si>
  <si>
    <t>SUKHPAL JAT</t>
  </si>
  <si>
    <t>NARAJ DEVI</t>
  </si>
  <si>
    <t>XXXX9086</t>
  </si>
  <si>
    <t>VNPVNGP</t>
  </si>
  <si>
    <t>VILL MORAJHADI,SRINAGAR,,30542</t>
  </si>
  <si>
    <t>KIRAN CHOUDHARY</t>
  </si>
  <si>
    <t>XXXX5323</t>
  </si>
  <si>
    <t>VNPVNJV</t>
  </si>
  <si>
    <t>KISMAT DEVI BHEEL</t>
  </si>
  <si>
    <t>SHAITAN BHEEL</t>
  </si>
  <si>
    <t>XXXX8723</t>
  </si>
  <si>
    <t>V.keriyakhurd po.morajhdi vaya prasar teh.nasirabad dist.Ajmer,Srinagar,Keriyakhurd,305402</t>
  </si>
  <si>
    <t>KOMAL</t>
  </si>
  <si>
    <t>PARMESHWAR</t>
  </si>
  <si>
    <t>PREM DEVI</t>
  </si>
  <si>
    <t>XXXX5060</t>
  </si>
  <si>
    <t>raghunathpura kheda,srinagar,raghunathpura kheda,305402</t>
  </si>
  <si>
    <t>SANWAR LAL</t>
  </si>
  <si>
    <t>NERAJ</t>
  </si>
  <si>
    <t>XXXX9655</t>
  </si>
  <si>
    <t>kheda raghunathpura,srinagar,kheda raghunathpura,305402</t>
  </si>
  <si>
    <t>KRISHNA HARIJAN</t>
  </si>
  <si>
    <t>PANKAJ HARIJAN</t>
  </si>
  <si>
    <t>XXXX6713</t>
  </si>
  <si>
    <t>Lokesh</t>
  </si>
  <si>
    <t>XXXX7705</t>
  </si>
  <si>
    <t>KAILASH PRAJAPAT</t>
  </si>
  <si>
    <t>RADHA DEVI</t>
  </si>
  <si>
    <t>XXXX3700</t>
  </si>
  <si>
    <t>YIMYOEC</t>
  </si>
  <si>
    <t>Ramesh</t>
  </si>
  <si>
    <t>Shana</t>
  </si>
  <si>
    <t>XXXX6268</t>
  </si>
  <si>
    <t>MAMATA JAT</t>
  </si>
  <si>
    <t>LALA RAM JAT</t>
  </si>
  <si>
    <t>MATHARA DEVI</t>
  </si>
  <si>
    <t>XXXX0457</t>
  </si>
  <si>
    <t>WXWBJZH</t>
  </si>
  <si>
    <t>MAYA DEVI BHEEL</t>
  </si>
  <si>
    <t>FATEHRAM BHEEL</t>
  </si>
  <si>
    <t>PUSI DEVI BHEEL</t>
  </si>
  <si>
    <t>XXXX2764</t>
  </si>
  <si>
    <t>V.keriyakhurd po.morajhdi vaya ramsar teh.nasirabad dist Ajmer,Srinagar,Keriyakhurd,305402</t>
  </si>
  <si>
    <t>NEELU CHOUDHARY</t>
  </si>
  <si>
    <t>RAMCHANDRA JAT</t>
  </si>
  <si>
    <t>XXXX7703</t>
  </si>
  <si>
    <t>Thakurji mandir,Sirinager,Surajpura,305813</t>
  </si>
  <si>
    <t>Neetu Prajapat</t>
  </si>
  <si>
    <t>XXXX3752</t>
  </si>
  <si>
    <t>VNHVVNV</t>
  </si>
  <si>
    <t>JAIN MANDIR KE PASS,RAMSAR,MORAJHADI,305402</t>
  </si>
  <si>
    <t>NISHA JAT</t>
  </si>
  <si>
    <t>KARTAR JAT</t>
  </si>
  <si>
    <t>GYARSI DEVI</t>
  </si>
  <si>
    <t>XXXX0690</t>
  </si>
  <si>
    <t>VGWGNVR</t>
  </si>
  <si>
    <t>JAT MOHALLA,KISHANGARH,KADHA,305802</t>
  </si>
  <si>
    <t>PAWAN PRAJAPAT</t>
  </si>
  <si>
    <t>PARASRAM PRAJAPAT</t>
  </si>
  <si>
    <t>XXXX1903</t>
  </si>
  <si>
    <t>POOJA PRAJAPAT</t>
  </si>
  <si>
    <t>SANWARA PRAJAPAT</t>
  </si>
  <si>
    <t>SUMITRA DEVI</t>
  </si>
  <si>
    <t>XXXX7372</t>
  </si>
  <si>
    <t>PRIYANKA DEVI CHOUDHARY</t>
  </si>
  <si>
    <t>BHERU LAL CHOUDHARY</t>
  </si>
  <si>
    <t>XXXX5364</t>
  </si>
  <si>
    <t>V.keriyakhurd Po.morajhdi beta damdar teh.nasirabad dist Ajmer,Srinagar,Keriyakhurd,305402</t>
  </si>
  <si>
    <t>PRIYANKA MEGHWANSHI</t>
  </si>
  <si>
    <t>XXXX5183</t>
  </si>
  <si>
    <t>DHARMICHAND PRAJAPAT</t>
  </si>
  <si>
    <t>RAMKANYA DEVI</t>
  </si>
  <si>
    <t>XXXX8463</t>
  </si>
  <si>
    <t>SAMEER JAT</t>
  </si>
  <si>
    <t>KALU RAM JAT</t>
  </si>
  <si>
    <t>RESH DEVI</t>
  </si>
  <si>
    <t>XXXX9676</t>
  </si>
  <si>
    <t>YGFFYUO</t>
  </si>
  <si>
    <t>SAMINA DEVI CHOUDHARY</t>
  </si>
  <si>
    <t>XXXX0095</t>
  </si>
  <si>
    <t>V.keriyakhurd Po.morajhdi vaya damdar teh.nasirabad dist Ajmer,Srinagar,Keriyakhurd,305402</t>
  </si>
  <si>
    <t>Basram Jat</t>
  </si>
  <si>
    <t>XXXX0735</t>
  </si>
  <si>
    <t>Shaukeen Prajapat</t>
  </si>
  <si>
    <t>Hansraj Prajapat</t>
  </si>
  <si>
    <t>Prem Devi</t>
  </si>
  <si>
    <t>XXXX6921</t>
  </si>
  <si>
    <t>Sonika</t>
  </si>
  <si>
    <t>Rajendra Jat</t>
  </si>
  <si>
    <t>XXXX5144</t>
  </si>
  <si>
    <t>SUKHPAL PRAJAPAT</t>
  </si>
  <si>
    <t>HANUMAN PRAJAPAT</t>
  </si>
  <si>
    <t>SAYARI</t>
  </si>
  <si>
    <t>XXXX2959</t>
  </si>
  <si>
    <t>Suman Choudhary</t>
  </si>
  <si>
    <t>Gopal Choudhary</t>
  </si>
  <si>
    <t>Mandraj Devi</t>
  </si>
  <si>
    <t>XXXX2311</t>
  </si>
  <si>
    <t>PRABHU PRAJAPAT</t>
  </si>
  <si>
    <t>XXXX4983</t>
  </si>
  <si>
    <t>YIGMFFW</t>
  </si>
  <si>
    <t>VIJAY MEGHWANSHI</t>
  </si>
  <si>
    <t>DHANRAJ MEGHWANSHI</t>
  </si>
  <si>
    <t>XXXX0477</t>
  </si>
  <si>
    <t>YYAKSDO</t>
  </si>
  <si>
    <t>Yasmin</t>
  </si>
  <si>
    <t>Ahasan Ali</t>
  </si>
  <si>
    <t>Naraj Banu</t>
  </si>
  <si>
    <t>XXXX9680</t>
  </si>
  <si>
    <t>AARTI GURJAR</t>
  </si>
  <si>
    <t>SAITHAN GURJAR</t>
  </si>
  <si>
    <t>XXXX0673</t>
  </si>
  <si>
    <t>XXXX8095</t>
  </si>
  <si>
    <t>VPO MORAJHADI,SRIANAGAR,,305402</t>
  </si>
  <si>
    <t>ARJUN JAT</t>
  </si>
  <si>
    <t>JADAV DEVI</t>
  </si>
  <si>
    <t>XXXX0799</t>
  </si>
  <si>
    <t>WFGKGVG</t>
  </si>
  <si>
    <t>VILL MORAJHADI,SHRINAGAR,VIA RAMSAR,305402</t>
  </si>
  <si>
    <t>Cheana Jat</t>
  </si>
  <si>
    <t>Hardayal Jat</t>
  </si>
  <si>
    <t>Meera Devi</t>
  </si>
  <si>
    <t>XXXX4136</t>
  </si>
  <si>
    <t>VILL-KERIYAKHURD,BLOCK-SRINAGAR,POST-MORAJHADI,305402</t>
  </si>
  <si>
    <t>DEEPAK JAT</t>
  </si>
  <si>
    <t>BHAGCHAND JAT</t>
  </si>
  <si>
    <t>LALI DEVI</t>
  </si>
  <si>
    <t>XXXX8893</t>
  </si>
  <si>
    <t>WFOKCDS</t>
  </si>
  <si>
    <t>VPO MORAJHADI,TEH NASIRABAD,VIA RAMSAR,305402</t>
  </si>
  <si>
    <t>DEEPU RAM BHEEL</t>
  </si>
  <si>
    <t>XXXX6098</t>
  </si>
  <si>
    <t>keriyakhurd,srinagar,keriyakhurd,305402</t>
  </si>
  <si>
    <t>Dillu</t>
  </si>
  <si>
    <t>Chhotu Teli</t>
  </si>
  <si>
    <t>XXXX7696</t>
  </si>
  <si>
    <t>VILL-MORAJHARI, POST-RAMSAR, AJMER,NASIRABAD,MORAJHARI,305402</t>
  </si>
  <si>
    <t>XXXX8427</t>
  </si>
  <si>
    <t>VPAMSARO MORAJHADI,TEH NASIRABAD,VPO RAMSAR,305402</t>
  </si>
  <si>
    <t>JIYA DEVI CHOUDHARY</t>
  </si>
  <si>
    <t>BHAGCHAND CHOUDHARY</t>
  </si>
  <si>
    <t>NEPAL DEVI CHOUDHARY</t>
  </si>
  <si>
    <t>XXXX3993</t>
  </si>
  <si>
    <t>Karina Jat</t>
  </si>
  <si>
    <t>XXXX0702</t>
  </si>
  <si>
    <t>KERIYAKHURD,SRINARAR,MORAJHADI,305402</t>
  </si>
  <si>
    <t>KHUSHI MEGHWANSHI</t>
  </si>
  <si>
    <t>RAMDHAN MEGHWANSHI</t>
  </si>
  <si>
    <t>PANCHI DEVI</t>
  </si>
  <si>
    <t>XXXX7184</t>
  </si>
  <si>
    <t>VGVNBNJ</t>
  </si>
  <si>
    <t>Khushi Ram</t>
  </si>
  <si>
    <t>Shaitan</t>
  </si>
  <si>
    <t>Mand Raj Devi</t>
  </si>
  <si>
    <t>XXXX0397</t>
  </si>
  <si>
    <t>KERIYAKHURD,SRINAGAR,KERIYAKHURD,305402</t>
  </si>
  <si>
    <t>KIRAN RAIDAS</t>
  </si>
  <si>
    <t>KALU RAM RAIDAS</t>
  </si>
  <si>
    <t>SONU DEVI</t>
  </si>
  <si>
    <t>XXXX7218</t>
  </si>
  <si>
    <t>VKSKXZV</t>
  </si>
  <si>
    <t>LEELA PRAJAPAT</t>
  </si>
  <si>
    <t>BIRDI CHAND PRAJAPAT</t>
  </si>
  <si>
    <t>SHYAMA DEVI</t>
  </si>
  <si>
    <t>XXXX2422</t>
  </si>
  <si>
    <t>SHYOJI CHOUDHARY</t>
  </si>
  <si>
    <t>MANFOOL DEVI</t>
  </si>
  <si>
    <t>XXXX3349</t>
  </si>
  <si>
    <t>VMMJHNV</t>
  </si>
  <si>
    <t>HETRAM CHOUDHARY</t>
  </si>
  <si>
    <t>MAINA DEVI</t>
  </si>
  <si>
    <t>XXXX7212</t>
  </si>
  <si>
    <t>YJSFEIK</t>
  </si>
  <si>
    <t>Mallika</t>
  </si>
  <si>
    <t>XXXX4480</t>
  </si>
  <si>
    <t>MAMTA JAT</t>
  </si>
  <si>
    <t>XXXX0155</t>
  </si>
  <si>
    <t>MANSHA JAT</t>
  </si>
  <si>
    <t>PRASANN CHOUDHARY</t>
  </si>
  <si>
    <t>XXXX9625</t>
  </si>
  <si>
    <t>MOHAN DEVI</t>
  </si>
  <si>
    <t>RAMDEV CHOUDHARY</t>
  </si>
  <si>
    <t>MEERA DEVI</t>
  </si>
  <si>
    <t>XXXX6245</t>
  </si>
  <si>
    <t>YOOIUES</t>
  </si>
  <si>
    <t>VILL KERIYA KHURD,SRINAGAR,PO MORAJHADI,305402</t>
  </si>
  <si>
    <t>Naraj</t>
  </si>
  <si>
    <t>Ramgopal</t>
  </si>
  <si>
    <t>Barma Devi</t>
  </si>
  <si>
    <t>XXXX9709</t>
  </si>
  <si>
    <t>Kanpura,Sri nagar,Kanpura,305025</t>
  </si>
  <si>
    <t>POOJA CHOUDHARY</t>
  </si>
  <si>
    <t>SONARAYAN CHOUDHARY</t>
  </si>
  <si>
    <t>XXXX6892</t>
  </si>
  <si>
    <t>VILL MORAJHADI,SRINAGR,,305402</t>
  </si>
  <si>
    <t>PRIYANKA DEVI MEGHWANSHI</t>
  </si>
  <si>
    <t>RAJU MEGHWANSHI</t>
  </si>
  <si>
    <t>XXXX2689</t>
  </si>
  <si>
    <t>PRIYANKA PRAJAPAT</t>
  </si>
  <si>
    <t>XXXX3794</t>
  </si>
  <si>
    <t>PUKHRAJ BHEEL</t>
  </si>
  <si>
    <t>RAMESHWAR BHEEL</t>
  </si>
  <si>
    <t>XXXX1303</t>
  </si>
  <si>
    <t>YISFAKK</t>
  </si>
  <si>
    <t>beelo ka mohalla,srinagar,surajpura,305813</t>
  </si>
  <si>
    <t>Ramchandar Jat</t>
  </si>
  <si>
    <t>XXXX3834</t>
  </si>
  <si>
    <t>SURAJPURA,SRINAGAR ,SURAJPURA,305813</t>
  </si>
  <si>
    <t>RAM SINGH JAT</t>
  </si>
  <si>
    <t>MISHRI JAT</t>
  </si>
  <si>
    <t>XXXX7351</t>
  </si>
  <si>
    <t>VZPGNHT</t>
  </si>
  <si>
    <t>RASILA DEVI CHOUDHARY</t>
  </si>
  <si>
    <t>KANARAM</t>
  </si>
  <si>
    <t>XXXX1721</t>
  </si>
  <si>
    <t>Jato Ka Bas,Arain,Mohammadgarh,305412</t>
  </si>
  <si>
    <t>REENA JAT</t>
  </si>
  <si>
    <t>SANTOSH DEVI</t>
  </si>
  <si>
    <t>XXXX0841</t>
  </si>
  <si>
    <t>YIAGIUS</t>
  </si>
  <si>
    <t>Rohit</t>
  </si>
  <si>
    <t>Shyojiram Jat</t>
  </si>
  <si>
    <t>Kali Devi</t>
  </si>
  <si>
    <t>XXXX2536</t>
  </si>
  <si>
    <t>keriya khurd,keriya khurd ,keriya khurd,305402</t>
  </si>
  <si>
    <t>SALTA BHEEL</t>
  </si>
  <si>
    <t>PAPPU BHEEL</t>
  </si>
  <si>
    <t>Bhulo ka mohalla,Sirinager,Surajpura,305813</t>
  </si>
  <si>
    <t>SANJU CHOUDHARY</t>
  </si>
  <si>
    <t>RAYMAL CHOUDHARY</t>
  </si>
  <si>
    <t>MATHURA DEVI</t>
  </si>
  <si>
    <t>XXXX6804</t>
  </si>
  <si>
    <t>SEEMA CHOUDHARY</t>
  </si>
  <si>
    <t>KAILASH CHOUDHARY</t>
  </si>
  <si>
    <t>XXXX4437</t>
  </si>
  <si>
    <t>SHEELA</t>
  </si>
  <si>
    <t>LADI DEVI</t>
  </si>
  <si>
    <t>XXXX1471</t>
  </si>
  <si>
    <t>dadiya,arain,dadiya,305813</t>
  </si>
  <si>
    <t>Sintu Jat</t>
  </si>
  <si>
    <t>RANJEET JAT</t>
  </si>
  <si>
    <t>Kamla Devi</t>
  </si>
  <si>
    <t>XXXX5116</t>
  </si>
  <si>
    <t>SUMAN CHOUDHARY</t>
  </si>
  <si>
    <t>HAGAMA CHOUDHARY</t>
  </si>
  <si>
    <t>MATRA DEVI</t>
  </si>
  <si>
    <t>XXXX1173</t>
  </si>
  <si>
    <t>VPJCSBR</t>
  </si>
  <si>
    <t>VILL KERIYA KHURD,TEH NASIRABAD,PO RAMSAR,305402</t>
  </si>
  <si>
    <t>JAY SINGH CHOUDHARY</t>
  </si>
  <si>
    <t>NARBADA DEVI</t>
  </si>
  <si>
    <t>XXXX5811</t>
  </si>
  <si>
    <t>VOOCJWV</t>
  </si>
  <si>
    <t>SHAUNKIN JAT</t>
  </si>
  <si>
    <t>XXXX4595</t>
  </si>
  <si>
    <t>vkgcpxn</t>
  </si>
  <si>
    <t>XXXX8683</t>
  </si>
  <si>
    <t>SUNIL KUMAR BHEEL</t>
  </si>
  <si>
    <t>DHARMRAJ BHEEL</t>
  </si>
  <si>
    <t>CHHOTI DEVI BHEEL</t>
  </si>
  <si>
    <t>XXXX6313</t>
  </si>
  <si>
    <t>Bhagchand Kumhar</t>
  </si>
  <si>
    <t>XXXX4165</t>
  </si>
  <si>
    <t>SURENDRA CHOUDHARY</t>
  </si>
  <si>
    <t>HARI RAM CHOUDHARY</t>
  </si>
  <si>
    <t>XXXX4857</t>
  </si>
  <si>
    <t>TANVI JANGID</t>
  </si>
  <si>
    <t>NANDKISHOR JANGID</t>
  </si>
  <si>
    <t>MAMTA JANGID</t>
  </si>
  <si>
    <t>XXXX1236</t>
  </si>
  <si>
    <t>YGBMBYO</t>
  </si>
  <si>
    <t>TEJPAL CHOUDHARY</t>
  </si>
  <si>
    <t>HANSRAJ CHOUDHARY</t>
  </si>
  <si>
    <t>XXXX8440</t>
  </si>
  <si>
    <t>VNNJHKX</t>
  </si>
  <si>
    <t>VINOD PRAJAPAT</t>
  </si>
  <si>
    <t>MAHAVEER PRAJAPAT</t>
  </si>
  <si>
    <t>XXXX7027</t>
  </si>
  <si>
    <t>VNGOHHV</t>
  </si>
  <si>
    <t>Akshay Dadhich</t>
  </si>
  <si>
    <t>Mahesh Chand Sharma</t>
  </si>
  <si>
    <t>Saraswati Sharma</t>
  </si>
  <si>
    <t>XXXX0946</t>
  </si>
  <si>
    <t>CHANNU BHEEL</t>
  </si>
  <si>
    <t>MAHAVEER BHEEL</t>
  </si>
  <si>
    <t>MANDRAJ DEVI</t>
  </si>
  <si>
    <t>XXXX2054</t>
  </si>
  <si>
    <t>VBZTJJK</t>
  </si>
  <si>
    <t>DEEPAK PRAJAPAT</t>
  </si>
  <si>
    <t>SHRAWAN PRAJAPAT</t>
  </si>
  <si>
    <t>XXXX5614</t>
  </si>
  <si>
    <t>VSPNWNV</t>
  </si>
  <si>
    <t>VILL MORAJHDI,SHRINAGAR,VIA RAMSAR,305402</t>
  </si>
  <si>
    <t>DEEPU</t>
  </si>
  <si>
    <t>RAMESH</t>
  </si>
  <si>
    <t>SHANA</t>
  </si>
  <si>
    <t>XXXX9296</t>
  </si>
  <si>
    <t>morajhadi,SRINAGAR,morajhadi,305402</t>
  </si>
  <si>
    <t>JORU JAT</t>
  </si>
  <si>
    <t>XXXX4858</t>
  </si>
  <si>
    <t>YKSOCSC</t>
  </si>
  <si>
    <t>GORA</t>
  </si>
  <si>
    <t>BHAGCHAND</t>
  </si>
  <si>
    <t>SURTA DEVI</t>
  </si>
  <si>
    <t>XXXX6791</t>
  </si>
  <si>
    <t>kheda raghunath pura,shrinagar,,305402</t>
  </si>
  <si>
    <t>GORA JAT</t>
  </si>
  <si>
    <t>RAYMAL JAT</t>
  </si>
  <si>
    <t>XXXX2464</t>
  </si>
  <si>
    <t>HEMRAJ JAT</t>
  </si>
  <si>
    <t>BASRAM JAT</t>
  </si>
  <si>
    <t>AMARI DEVI</t>
  </si>
  <si>
    <t>XXXX1774</t>
  </si>
  <si>
    <t>ISLAM KHAN</t>
  </si>
  <si>
    <t>NAZEER KHAN</t>
  </si>
  <si>
    <t>MADINA BANO</t>
  </si>
  <si>
    <t>XXXX4287</t>
  </si>
  <si>
    <t>ZBRBRXR</t>
  </si>
  <si>
    <t>VPO Morajhadi,SRINAGAR,,305402</t>
  </si>
  <si>
    <t>KALU KUMHAR</t>
  </si>
  <si>
    <t>SHRAWAN KUMHAR</t>
  </si>
  <si>
    <t>SANTOSH KUMHAR</t>
  </si>
  <si>
    <t>XXXX4002</t>
  </si>
  <si>
    <t>Kamlesh Choudhary</t>
  </si>
  <si>
    <t>Pradhan Choudhary</t>
  </si>
  <si>
    <t>Neraj Devi</t>
  </si>
  <si>
    <t>XXXX8983</t>
  </si>
  <si>
    <t>KANHAIYA KUMHAR</t>
  </si>
  <si>
    <t>KALU RAM KUMHAR</t>
  </si>
  <si>
    <t>NARAYANI DEVI</t>
  </si>
  <si>
    <t>XXXX7055</t>
  </si>
  <si>
    <t>VRPTXXV</t>
  </si>
  <si>
    <t>KARTAR CHOUDHARY</t>
  </si>
  <si>
    <t>RAMRAJ CHOUDHARY</t>
  </si>
  <si>
    <t>RUKMA</t>
  </si>
  <si>
    <t>XXXX4516</t>
  </si>
  <si>
    <t>KARTIK VAISHNAV</t>
  </si>
  <si>
    <t>SATYANARAYAN VAISHNAV</t>
  </si>
  <si>
    <t>NERAJ DEVI</t>
  </si>
  <si>
    <t>XXXX2619</t>
  </si>
  <si>
    <t>BCIDFAB</t>
  </si>
  <si>
    <t>KAVITA PRAJAPAT</t>
  </si>
  <si>
    <t>BASRAM PRAJAPAT</t>
  </si>
  <si>
    <t>ANNU DEVI</t>
  </si>
  <si>
    <t>XXXX1877</t>
  </si>
  <si>
    <t>RAM LAL JAT</t>
  </si>
  <si>
    <t>XXXX9937</t>
  </si>
  <si>
    <t>YIMYIEW</t>
  </si>
  <si>
    <t>MANISHA CHOUDHARY</t>
  </si>
  <si>
    <t>XXXX4672</t>
  </si>
  <si>
    <t>BCQUEQG</t>
  </si>
  <si>
    <t>MANISHA JAT</t>
  </si>
  <si>
    <t>RAJI DEVI</t>
  </si>
  <si>
    <t>XXXX0721</t>
  </si>
  <si>
    <t>VNPVPBV</t>
  </si>
  <si>
    <t>Manoj Prajapat</t>
  </si>
  <si>
    <t>Devkaran Prajapat</t>
  </si>
  <si>
    <t>XXXX2817</t>
  </si>
  <si>
    <t>XXXX6920</t>
  </si>
  <si>
    <t>NARAJ PRAJAPAT</t>
  </si>
  <si>
    <t>XXXX1280</t>
  </si>
  <si>
    <t>VGBPRTV</t>
  </si>
  <si>
    <t>NARGIS BANO</t>
  </si>
  <si>
    <t>RAFIK MOHAMMAD</t>
  </si>
  <si>
    <t>BANU BEGAM</t>
  </si>
  <si>
    <t>XXXX0993</t>
  </si>
  <si>
    <t>MANGALIYAWAS,PISANGAN,MANGALIYAWAS,302303</t>
  </si>
  <si>
    <t>NEETU CHOUDHARY</t>
  </si>
  <si>
    <t>XXXX8383</t>
  </si>
  <si>
    <t>VILL KERIYA KHURD,TEH NASIRABAD,PO MORAJHADI,305402</t>
  </si>
  <si>
    <t>PRAKASH CHOUDHARY</t>
  </si>
  <si>
    <t>RAMSINGH CHOUDHARY</t>
  </si>
  <si>
    <t>XXXX3897</t>
  </si>
  <si>
    <t>YGFFYSK</t>
  </si>
  <si>
    <t>VPO MORAHADI,SRINAGAR,,305402</t>
  </si>
  <si>
    <t>PRAVEEN CHOUDHARY</t>
  </si>
  <si>
    <t>HETRAM CHOUADHARY</t>
  </si>
  <si>
    <t>XXXX2074</t>
  </si>
  <si>
    <t>YGSFEIK</t>
  </si>
  <si>
    <t>PRIYANKA JAT</t>
  </si>
  <si>
    <t>XXXX1388</t>
  </si>
  <si>
    <t>RAHUL MEGHWANSHI</t>
  </si>
  <si>
    <t>BADRI MEGHWANSHI</t>
  </si>
  <si>
    <t>GAMLA DEVI</t>
  </si>
  <si>
    <t>XXXX1599</t>
  </si>
  <si>
    <t>YOYEFAC</t>
  </si>
  <si>
    <t>Keriyakhurd,Shrinagar,Keriyakhurd,305402</t>
  </si>
  <si>
    <t>RINKU CHOUDHARY</t>
  </si>
  <si>
    <t>RAMSWARUP CHOUDHARY</t>
  </si>
  <si>
    <t>XXXX3115</t>
  </si>
  <si>
    <t>VZCSGRV</t>
  </si>
  <si>
    <t>RINKU JAT</t>
  </si>
  <si>
    <t>DHANRAJ JAT</t>
  </si>
  <si>
    <t>KOPAN DEVI</t>
  </si>
  <si>
    <t>XXXX7861</t>
  </si>
  <si>
    <t>VILL-RAGHUNATHPURA KHEDA,VILL-MORAJHADI ,,305402</t>
  </si>
  <si>
    <t>SAHIL KHAN</t>
  </si>
  <si>
    <t>MOHAMMAD HAKIM</t>
  </si>
  <si>
    <t>MUNNI BANO</t>
  </si>
  <si>
    <t>XXXX2735</t>
  </si>
  <si>
    <t>yismiig</t>
  </si>
  <si>
    <t>SANJU PRAJAPAT</t>
  </si>
  <si>
    <t>XXXX5017</t>
  </si>
  <si>
    <t>VPCSHWJ</t>
  </si>
  <si>
    <t>SEEMA DEVI BHEEL</t>
  </si>
  <si>
    <t>BHAIRU LAL BHEEL</t>
  </si>
  <si>
    <t>XXXX7788</t>
  </si>
  <si>
    <t>VTTBRJJ</t>
  </si>
  <si>
    <t>SURAJPURA,SHRINAGAR,SURAJPURA,305813</t>
  </si>
  <si>
    <t>SHANKAR MEGHWANSHI</t>
  </si>
  <si>
    <t>SEETARAM MEGHWANSHI</t>
  </si>
  <si>
    <t>XXXX5985</t>
  </si>
  <si>
    <t>SUMAN DEVI MEGHWANSHI</t>
  </si>
  <si>
    <t>JATANARAM MEGHWANSHI</t>
  </si>
  <si>
    <t>NOSHAR DEVI</t>
  </si>
  <si>
    <t>XXXX5121</t>
  </si>
  <si>
    <t>XXXX6777</t>
  </si>
  <si>
    <t>VPCVGWH</t>
  </si>
  <si>
    <t>YASPAL</t>
  </si>
  <si>
    <t>XXXX4839</t>
  </si>
  <si>
    <t>AISH PAL</t>
  </si>
  <si>
    <t>BADRI LAL</t>
  </si>
  <si>
    <t>SOMA DEVI</t>
  </si>
  <si>
    <t>XXXX0121</t>
  </si>
  <si>
    <t>Aman Ali</t>
  </si>
  <si>
    <t>Shahjad Ali</t>
  </si>
  <si>
    <t>Salma</t>
  </si>
  <si>
    <t>ANIL MEGHWANSHI</t>
  </si>
  <si>
    <t>PANCHU RAM MEGHWANSHI</t>
  </si>
  <si>
    <t>XXXX8694</t>
  </si>
  <si>
    <t>YKSMUIW</t>
  </si>
  <si>
    <t>ASHOK PRAJAPAT</t>
  </si>
  <si>
    <t>HARLAL PRAJAPAT</t>
  </si>
  <si>
    <t>KAMLESH DEVI</t>
  </si>
  <si>
    <t>XXXX6220</t>
  </si>
  <si>
    <t>WFGCQFF</t>
  </si>
  <si>
    <t>BASRAM CHOUDHARY</t>
  </si>
  <si>
    <t>GOPAL CHOUDHARY</t>
  </si>
  <si>
    <t>XXXX4270</t>
  </si>
  <si>
    <t>vrcxvnv</t>
  </si>
  <si>
    <t>CHHITAR JAT</t>
  </si>
  <si>
    <t>MISARI LAL JAT</t>
  </si>
  <si>
    <t>XXXX9389</t>
  </si>
  <si>
    <t>Dashrath Choudhary</t>
  </si>
  <si>
    <t>Harikishan Choudhary</t>
  </si>
  <si>
    <t>Samer Devi</t>
  </si>
  <si>
    <t>XXXX5484</t>
  </si>
  <si>
    <t>Dinesh Jat</t>
  </si>
  <si>
    <t>Shri Ram Jat</t>
  </si>
  <si>
    <t>GANESH MEGHWANSHI</t>
  </si>
  <si>
    <t>PARAS MEGHWANSHI</t>
  </si>
  <si>
    <t>XXXX6138</t>
  </si>
  <si>
    <t>VPJCSBP</t>
  </si>
  <si>
    <t>GOURA PRAJAPAT</t>
  </si>
  <si>
    <t>XXXX4923</t>
  </si>
  <si>
    <t>VGZZVSP</t>
  </si>
  <si>
    <t>GUDDA</t>
  </si>
  <si>
    <t>KAILASH NAYAK</t>
  </si>
  <si>
    <t>XXXX6976</t>
  </si>
  <si>
    <t>YMECKOB</t>
  </si>
  <si>
    <t>Kheda Raghunathpura,Shrinagar,Kheda Raghunathpura,305402</t>
  </si>
  <si>
    <t>Kana Ram Choudhary</t>
  </si>
  <si>
    <t>Suganta Devi</t>
  </si>
  <si>
    <t>LUCKY JANGID</t>
  </si>
  <si>
    <t>XXXX9609</t>
  </si>
  <si>
    <t>YGBMQYO</t>
  </si>
  <si>
    <t>MAHENDRA JAT</t>
  </si>
  <si>
    <t>XXXX9416</t>
  </si>
  <si>
    <t>MAHENDRA PRAJAPAT</t>
  </si>
  <si>
    <t>SANTOSH PRAJAPAT</t>
  </si>
  <si>
    <t>MANKHUSH CHOUDHARY</t>
  </si>
  <si>
    <t>XXXX3838</t>
  </si>
  <si>
    <t>YIOOGKK</t>
  </si>
  <si>
    <t>NEPAL</t>
  </si>
  <si>
    <t>BRAHMANAND JAT</t>
  </si>
  <si>
    <t>XXXX8574</t>
  </si>
  <si>
    <t>ygdgyuf</t>
  </si>
  <si>
    <t>kheda raghunathpura,shrinagar,morajhadi,305402</t>
  </si>
  <si>
    <t>NIRMA DEVI MEGHWANSHI</t>
  </si>
  <si>
    <t>GANGA RAM MEGHWANSHI</t>
  </si>
  <si>
    <t>XXXX1133</t>
  </si>
  <si>
    <t>VGZZVWJ</t>
  </si>
  <si>
    <t>VILL KERYA KHURD,SRINAGAR,,305402</t>
  </si>
  <si>
    <t>NIRMA PRAJAPAT</t>
  </si>
  <si>
    <t>XXXX1602</t>
  </si>
  <si>
    <t>PRIYANKA CHOUDHARY</t>
  </si>
  <si>
    <t>XXXX6838</t>
  </si>
  <si>
    <t>YGSFEOS</t>
  </si>
  <si>
    <t>VILL KERIYA KHURD,SRINAGAR,,305402</t>
  </si>
  <si>
    <t>XXXX1786</t>
  </si>
  <si>
    <t>SANJAY CHOUDHARY</t>
  </si>
  <si>
    <t>SUGANTA DEVI</t>
  </si>
  <si>
    <t>XXXX3835</t>
  </si>
  <si>
    <t>YQCECAB</t>
  </si>
  <si>
    <t>SANWAR LAL JAT</t>
  </si>
  <si>
    <t>BANNA LAL JAT</t>
  </si>
  <si>
    <t>NEER DEVI</t>
  </si>
  <si>
    <t>XXXX9780</t>
  </si>
  <si>
    <t>WFYEONG</t>
  </si>
  <si>
    <t>SEEMA</t>
  </si>
  <si>
    <t>SANGRAM SINGH CHOUDHARY</t>
  </si>
  <si>
    <t>MANDRAJ</t>
  </si>
  <si>
    <t>XXXX4658</t>
  </si>
  <si>
    <t>vwbrxvh</t>
  </si>
  <si>
    <t>SHIMLA PRAJAPAT</t>
  </si>
  <si>
    <t>GOVIND PRAJAPAT</t>
  </si>
  <si>
    <t>PARSI DEVI</t>
  </si>
  <si>
    <t>XXXX6665</t>
  </si>
  <si>
    <t>VNPVOJH</t>
  </si>
  <si>
    <t>SUGANTA PRAJAPAT</t>
  </si>
  <si>
    <t>HANSRAJ PRAJAPAT</t>
  </si>
  <si>
    <t>XXXX8749</t>
  </si>
  <si>
    <t>YIMYIAW</t>
  </si>
  <si>
    <t>GANGARAM MEGHWANSHI</t>
  </si>
  <si>
    <t>XXXX1705</t>
  </si>
  <si>
    <t>SURESH JAT</t>
  </si>
  <si>
    <t>PRAHLAD JAT</t>
  </si>
  <si>
    <t>XXXX5219</t>
  </si>
  <si>
    <t>YGSFIFC</t>
  </si>
  <si>
    <t>VPO MORAJHADI,SHRINAGAR,VIA RAMSAR,305402</t>
  </si>
  <si>
    <t>Vishram Choudhary</t>
  </si>
  <si>
    <t>Shyoji Choudhary</t>
  </si>
  <si>
    <t>Manfool Devi</t>
  </si>
  <si>
    <t>DILKHUSH CHOUDHARY</t>
  </si>
  <si>
    <t>NARAYAN CHOUDHARY</t>
  </si>
  <si>
    <t>XXXX4760</t>
  </si>
  <si>
    <t>Kana Ram Jat</t>
  </si>
  <si>
    <t>Tulsi Devi</t>
  </si>
  <si>
    <t>XXXX8079</t>
  </si>
  <si>
    <t>BHAKLO KA MOHALLA MORAJHADI,SRINAGAR,MORAJHADI,305402</t>
  </si>
  <si>
    <t>KULDEEP MEGHWANSHI</t>
  </si>
  <si>
    <t>OMPRAKASH MEGHWANSHI</t>
  </si>
  <si>
    <t>XXXX6741</t>
  </si>
  <si>
    <t>VNHVVKR</t>
  </si>
  <si>
    <t xml:space="preserve">अंग्रेजी </t>
  </si>
  <si>
    <t xml:space="preserve">विज्ञान </t>
  </si>
  <si>
    <t xml:space="preserve">संस्कृत </t>
  </si>
  <si>
    <t>भूगोल</t>
  </si>
  <si>
    <t>C</t>
  </si>
  <si>
    <t>D</t>
  </si>
  <si>
    <t>E</t>
  </si>
  <si>
    <t>अनुपस्थित</t>
  </si>
  <si>
    <t>अनुत्तीर्ण</t>
  </si>
  <si>
    <t xml:space="preserve">अनुपस्थित </t>
  </si>
  <si>
    <t>कुल अनुत्तीर्ण / अनुपस्थित विद्यार्थियों की संख्या (श्रेणीवार)</t>
  </si>
  <si>
    <t>d{kk 6 ls 8 esa mÙkh.kZ leLr Nk=@Nk=kvksa dh lwpukA d{kk 8oha dk ijh{kk ifj.kke] cksMZ }kjk ifj.kke ?kksf"kr gksus ds ckn Hkstk tk;saA ¼fyQkQk &amp; 3½</t>
  </si>
  <si>
    <t xml:space="preserve">d{kk </t>
  </si>
  <si>
    <t>mÙkh.kZ Nk=ksa dh la[;k ¼xzsMokj½</t>
  </si>
  <si>
    <t>mÙkh.kZ Nk=kvksa dh la[;k ¼xzsMokj½</t>
  </si>
  <si>
    <t>dqy mÙkh.kZ fo|kfFkZ;ksaa dh la[;k ¼xzsMokj½</t>
  </si>
  <si>
    <t xml:space="preserve">कक्षा </t>
  </si>
  <si>
    <t>fo|ky; lEcfU/kr lwpuk  ¼fyQkQk &amp; 5½</t>
  </si>
  <si>
    <t>Ø- la-</t>
  </si>
  <si>
    <t>fo|ky; dk 
LFkkuh; ijh{kk dksM</t>
  </si>
  <si>
    <t>fo|ky; dk 
;wMkbZl dksM</t>
  </si>
  <si>
    <t>fo|ky; dk 
uke</t>
  </si>
  <si>
    <t>fo|kulHkk 
{ks=</t>
  </si>
  <si>
    <t>CykWd</t>
  </si>
  <si>
    <t>xzke 
iapk;r</t>
  </si>
  <si>
    <t>xzke 
dk uke</t>
  </si>
  <si>
    <t>laLFkk iz/kku 
dk uke</t>
  </si>
  <si>
    <t>laLFkk iz/kku dk 
eksckbZy uEcj</t>
  </si>
  <si>
    <t>fo|ky; 
VsyhQksu uEcj e; ,l-Vh-Mh- dksM</t>
  </si>
  <si>
    <t>fo|ky; dk 
bZ&amp;esy vkbZ-Mh-</t>
  </si>
  <si>
    <t>laLFkk iz/kku dk 
bZ&amp;esy vkbZ-Mh-</t>
  </si>
  <si>
    <t>MORAJHADI</t>
  </si>
  <si>
    <t>NASIRABAD</t>
  </si>
  <si>
    <t>SRINAGAR</t>
  </si>
  <si>
    <t>SAMPRONDA</t>
  </si>
  <si>
    <t>MANJU LATA MAHAWAR</t>
  </si>
  <si>
    <t>gsssmorajhadi15@gmail.com</t>
  </si>
  <si>
    <t>manjumahawar1971@gmail.com</t>
  </si>
  <si>
    <r>
      <t xml:space="preserve">d{kk </t>
    </r>
    <r>
      <rPr>
        <b/>
        <sz val="10"/>
        <color theme="1"/>
        <rFont val="Times New Roman"/>
        <family val="1"/>
      </rPr>
      <t>lX</t>
    </r>
    <r>
      <rPr>
        <b/>
        <sz val="12"/>
        <color theme="1"/>
        <rFont val="DevLys 010"/>
      </rPr>
      <t xml:space="preserve"> esa 75</t>
    </r>
    <r>
      <rPr>
        <b/>
        <sz val="10"/>
        <color theme="1"/>
        <rFont val="Times New Roman"/>
        <family val="1"/>
      </rPr>
      <t>%</t>
    </r>
    <r>
      <rPr>
        <b/>
        <sz val="12"/>
        <color theme="1"/>
        <rFont val="DevLys 010"/>
      </rPr>
      <t xml:space="preserve"> ls vf/kd vad izkIr djus okys Nk=@Nk=kvksa dk fooj.k %&amp; ¼fyQkQk &amp; 1½</t>
    </r>
  </si>
  <si>
    <t>Nk=@Nk=k 
dk uke</t>
  </si>
  <si>
    <r>
      <t xml:space="preserve">Nk=@Nk=k 
</t>
    </r>
    <r>
      <rPr>
        <b/>
        <sz val="10"/>
        <color theme="1"/>
        <rFont val="Times New Roman"/>
        <family val="1"/>
      </rPr>
      <t>B/G</t>
    </r>
  </si>
  <si>
    <t>firk dk uke</t>
  </si>
  <si>
    <t>tkfr</t>
  </si>
  <si>
    <t>d{kk</t>
  </si>
  <si>
    <t>iw.kkZad</t>
  </si>
  <si>
    <t>izkIrkad</t>
  </si>
  <si>
    <t>izfr'kr</t>
  </si>
  <si>
    <t>fo|kFkhZ dk LFkkbZ 
irk o nwjHkk"k uEcj</t>
  </si>
  <si>
    <t xml:space="preserve">प्रधान चौधरी </t>
  </si>
  <si>
    <t xml:space="preserve">गोरा जाट </t>
  </si>
  <si>
    <t xml:space="preserve">रायमल जाट </t>
  </si>
  <si>
    <t>ग्राम मोराझड़ी मो0  9950193738</t>
  </si>
  <si>
    <t>ग्राम मोराझड़ी  मो0 9680834313</t>
  </si>
  <si>
    <t xml:space="preserve">विषयवार परीक्षा प्रतिफल </t>
  </si>
  <si>
    <t xml:space="preserve">विषय </t>
  </si>
  <si>
    <t>हिन्दी</t>
  </si>
  <si>
    <t>अंग्रेजी</t>
  </si>
  <si>
    <t>हिन्दी साहित्य</t>
  </si>
  <si>
    <t>गणित</t>
  </si>
  <si>
    <t>राजनीति विज्ञान</t>
  </si>
  <si>
    <t>विज्ञान</t>
  </si>
  <si>
    <t>संस्कृत</t>
  </si>
  <si>
    <t>सामाजिक विज्ञान</t>
  </si>
  <si>
    <t xml:space="preserve">योग </t>
  </si>
  <si>
    <t>d{kk 1 ls 5 esa mÙkh.kZ leLr Nk=@Nk=kvksa dh lwpukA d{kk 5oha dk ijh{kk ifj.kke] cksMZ }kjk ifj.kke ?kksf"kr gksus ds ckn Hkstk tk;saA ¼fyQkQk &amp;    ½</t>
  </si>
  <si>
    <t>कक्षा</t>
  </si>
  <si>
    <t xml:space="preserve">कमलेश चौधरी </t>
  </si>
  <si>
    <t xml:space="preserve">कक्षा 												</t>
  </si>
  <si>
    <t>🔹 चरण 1: छात्रों के ग्रेड भरना</t>
  </si>
  <si>
    <t>🔹 चरण 2: विषयवार ग्रेड भरना</t>
  </si>
  <si>
    <t>🔹 चरण 3: परिणाम तैयार हो गया</t>
  </si>
  <si>
    <t>🖨️ रिजल्ट प्रिंट करने की प्रक्रिया</t>
  </si>
  <si>
    <t>🔹 कक्षावार रिजल्ट प्रिंट करना</t>
  </si>
  <si>
    <t>4. चयन के बाद उस कक्षा का रिजल्ट स्वतः प्रदर्शित हो जाएगा।</t>
  </si>
  <si>
    <t>🔹 विषयवार रिजल्ट प्रिंट करना</t>
  </si>
  <si>
    <t>⚠️ महत्वपूर्ण बातें ध्यान रखें</t>
  </si>
  <si>
    <t>तभी परिणाम सही और पूर्ण रूप से प्रदर्शित व प्रिंट हो पाएगा।</t>
  </si>
  <si>
    <t>परीक्षा परिणाम तैयार करने की प्रक्रिया (Sheet: studentdata)</t>
  </si>
  <si>
    <t>1.सबसे पहले studentdata शीट में जाएँ।</t>
  </si>
  <si>
    <r>
      <t xml:space="preserve">2.उस </t>
    </r>
    <r>
      <rPr>
        <b/>
        <sz val="20"/>
        <color theme="1"/>
        <rFont val="Aparajita"/>
        <family val="1"/>
      </rPr>
      <t>कक्षा (Class)</t>
    </r>
    <r>
      <rPr>
        <sz val="20"/>
        <color theme="1"/>
        <rFont val="Aparajita"/>
        <family val="1"/>
      </rPr>
      <t xml:space="preserve"> के सभी छात्रों की पहचान करें जिसका रिजल्ट आप निकालना चाहते हैं।</t>
    </r>
  </si>
  <si>
    <r>
      <t xml:space="preserve">3. हर छात्र के आगे दिए गए </t>
    </r>
    <r>
      <rPr>
        <b/>
        <sz val="20"/>
        <color theme="1"/>
        <rFont val="Aparajita"/>
        <family val="1"/>
      </rPr>
      <t>"ग्रेड" कॉलम</t>
    </r>
    <r>
      <rPr>
        <sz val="20"/>
        <color theme="1"/>
        <rFont val="Aparajita"/>
        <family val="1"/>
      </rPr>
      <t xml:space="preserve"> में उनका </t>
    </r>
    <r>
      <rPr>
        <b/>
        <sz val="20"/>
        <color theme="1"/>
        <rFont val="Aparajita"/>
        <family val="1"/>
      </rPr>
      <t>प्राप्त ग्रेड</t>
    </r>
    <r>
      <rPr>
        <sz val="20"/>
        <color theme="1"/>
        <rFont val="Aparajita"/>
        <family val="1"/>
      </rPr>
      <t xml:space="preserve"> दर्ज करें।</t>
    </r>
  </si>
  <si>
    <r>
      <t xml:space="preserve">1. ग्रेड कॉलम के आगे के कॉलमों में सभी </t>
    </r>
    <r>
      <rPr>
        <b/>
        <sz val="20"/>
        <color theme="1"/>
        <rFont val="Aparajita"/>
        <family val="1"/>
      </rPr>
      <t>विषयों के लिए ग्रेड</t>
    </r>
    <r>
      <rPr>
        <sz val="20"/>
        <color theme="1"/>
        <rFont val="Aparajita"/>
        <family val="1"/>
      </rPr>
      <t xml:space="preserve"> भरें।</t>
    </r>
  </si>
  <si>
    <r>
      <t xml:space="preserve">2. यदि कोई छात्र किसी विषय में </t>
    </r>
    <r>
      <rPr>
        <b/>
        <sz val="20"/>
        <color theme="1"/>
        <rFont val="Aparajita"/>
        <family val="1"/>
      </rPr>
      <t>अनुपस्थित (Absent)</t>
    </r>
    <r>
      <rPr>
        <sz val="20"/>
        <color theme="1"/>
        <rFont val="Aparajita"/>
        <family val="1"/>
      </rPr>
      <t xml:space="preserve"> रहा हो, तो उस विषय के कॉलम में </t>
    </r>
    <r>
      <rPr>
        <b/>
        <sz val="20"/>
        <color theme="1"/>
        <rFont val="Aparajita"/>
        <family val="1"/>
      </rPr>
      <t>"अनुपस्थित"</t>
    </r>
    <r>
      <rPr>
        <sz val="20"/>
        <color theme="1"/>
        <rFont val="Aparajita"/>
        <family val="1"/>
      </rPr>
      <t xml:space="preserve"> लिखें।</t>
    </r>
  </si>
  <si>
    <t>Aarushi</t>
  </si>
  <si>
    <t>Ajodya</t>
  </si>
  <si>
    <t>XXXX5052</t>
  </si>
  <si>
    <t>Annu Jat</t>
  </si>
  <si>
    <t>Ramswaroop</t>
  </si>
  <si>
    <t>Bhagawati</t>
  </si>
  <si>
    <t>XXXX6543</t>
  </si>
  <si>
    <t>MANKUSH JAT</t>
  </si>
  <si>
    <t>KAMLA DEVI</t>
  </si>
  <si>
    <t>MANOJ CHOUDHARY</t>
  </si>
  <si>
    <t>XXXX4524</t>
  </si>
  <si>
    <t>WFGKGBG</t>
  </si>
  <si>
    <t>Mansa Choudhary</t>
  </si>
  <si>
    <t>Shri Ram Choudhary</t>
  </si>
  <si>
    <t>XXXX4200</t>
  </si>
  <si>
    <t>MONA RAM JAT</t>
  </si>
  <si>
    <t>MANGALA RAM JAT</t>
  </si>
  <si>
    <t>MOTYA DEVI</t>
  </si>
  <si>
    <t>XXXX3722</t>
  </si>
  <si>
    <t>VORVGWL</t>
  </si>
  <si>
    <t>VILL SURAJPURA,SHRINAGAR,PO GOTHIYANA,305402</t>
  </si>
  <si>
    <t>Naraj Choudhary</t>
  </si>
  <si>
    <t>Bhagchand Choudhary</t>
  </si>
  <si>
    <t>Surta Devi</t>
  </si>
  <si>
    <t>XXXX4853</t>
  </si>
  <si>
    <t>Pintu Jat</t>
  </si>
  <si>
    <t>Mahaveer Jat</t>
  </si>
  <si>
    <t>PRADEEP CHOUDHARY</t>
  </si>
  <si>
    <t>XXXX9381</t>
  </si>
  <si>
    <t>VGVRHTP</t>
  </si>
  <si>
    <t>VILL MORAJHADI,TEH NASRABAD,,305402</t>
  </si>
  <si>
    <t>RAMCHANDRA BHEEL</t>
  </si>
  <si>
    <t>XXXX6325</t>
  </si>
  <si>
    <t>surajpura,srinagar,surajpura,305813</t>
  </si>
  <si>
    <t>SAMPAT</t>
  </si>
  <si>
    <t>SAWAR LAL JAT</t>
  </si>
  <si>
    <t>VILL KHEDA RAGHUNATHPURA,SRINAGAR,,305402</t>
  </si>
  <si>
    <t>GYARSILAL</t>
  </si>
  <si>
    <t>MANNA DEVI</t>
  </si>
  <si>
    <t>XXXX9873</t>
  </si>
  <si>
    <t>VNPVNJX</t>
  </si>
  <si>
    <t>SONU PRAJAPAT</t>
  </si>
  <si>
    <t>XXXX8553</t>
  </si>
  <si>
    <t>YAWBMCF</t>
  </si>
  <si>
    <t>KUMHAR MOHALLA,TEH TODARAISINGH,KUHADA BUJURG,304502</t>
  </si>
  <si>
    <t>Anjali Meghwanshi</t>
  </si>
  <si>
    <t>Gyarsi Meghwanshi</t>
  </si>
  <si>
    <t>XXXX0328</t>
  </si>
  <si>
    <t>SUGNA JAT</t>
  </si>
  <si>
    <t>HARDEEN JAT</t>
  </si>
  <si>
    <t>PARMESH DEVI</t>
  </si>
  <si>
    <t>XXXX8352</t>
  </si>
  <si>
    <t>YGYEBDS</t>
  </si>
  <si>
    <t>SUMAN</t>
  </si>
  <si>
    <t>XXXX9874</t>
  </si>
  <si>
    <t>RAMKEN JAT</t>
  </si>
  <si>
    <t>NANDU DEVI</t>
  </si>
  <si>
    <t>XXXX6416</t>
  </si>
  <si>
    <t>VGZSJTP</t>
  </si>
  <si>
    <t>TONA CHOUDHARY</t>
  </si>
  <si>
    <t>PRAHLAD</t>
  </si>
  <si>
    <t>MAYA</t>
  </si>
  <si>
    <t>XXXX9206</t>
  </si>
  <si>
    <t>VILL-KERIYAKHURD,SRINAGAR,VILL-KERIYAKHURD,305402</t>
  </si>
  <si>
    <t>GRADE</t>
  </si>
  <si>
    <t xml:space="preserve">राजनीति विज्ञान </t>
  </si>
  <si>
    <t xml:space="preserve">हिन्दी साहित्य </t>
  </si>
  <si>
    <r>
      <t xml:space="preserve">1. उपरोक्त जानकारी भरने के बाद आपकी </t>
    </r>
    <r>
      <rPr>
        <b/>
        <sz val="20"/>
        <color theme="1"/>
        <rFont val="Aparajita"/>
        <family val="1"/>
      </rPr>
      <t>कक्षावार और विषयवार परीक्षा प्रतिफल तालिका</t>
    </r>
    <r>
      <rPr>
        <sz val="20"/>
        <color theme="1"/>
        <rFont val="Aparajita"/>
        <family val="1"/>
      </rPr>
      <t xml:space="preserve"> तैयार हो जाती है।</t>
    </r>
  </si>
  <si>
    <t>1. कक्षावार रिजल्ट शीट में जाएँ।</t>
  </si>
  <si>
    <r>
      <t xml:space="preserve">2. वहाँ पर कक्षा चयन के लिए एक </t>
    </r>
    <r>
      <rPr>
        <b/>
        <sz val="20"/>
        <color theme="1"/>
        <rFont val="Aparajita"/>
        <family val="1"/>
      </rPr>
      <t>ड्रॉपडाउन लिस्ट</t>
    </r>
    <r>
      <rPr>
        <sz val="20"/>
        <color theme="1"/>
        <rFont val="Aparajita"/>
        <family val="1"/>
      </rPr>
      <t xml:space="preserve"> बनी हुई है जिसमें कक्षा </t>
    </r>
    <r>
      <rPr>
        <b/>
        <sz val="20"/>
        <color theme="1"/>
        <rFont val="Aparajita"/>
        <family val="1"/>
      </rPr>
      <t>9, 10, 11, 12</t>
    </r>
    <r>
      <rPr>
        <sz val="20"/>
        <color theme="1"/>
        <rFont val="Aparajita"/>
        <family val="1"/>
      </rPr>
      <t xml:space="preserve"> शामिल हैं।</t>
    </r>
  </si>
  <si>
    <r>
      <t xml:space="preserve">3. आप जिस कक्षा का रिजल्ट प्रिंट करना चाहते हैं, उसका </t>
    </r>
    <r>
      <rPr>
        <b/>
        <sz val="20"/>
        <color theme="1"/>
        <rFont val="Aparajita"/>
        <family val="1"/>
      </rPr>
      <t>चयन ड्रॉपडाउन से करें</t>
    </r>
    <r>
      <rPr>
        <sz val="20"/>
        <color theme="1"/>
        <rFont val="Aparajita"/>
        <family val="1"/>
      </rPr>
      <t>।</t>
    </r>
  </si>
  <si>
    <r>
      <t xml:space="preserve">5. अब आप रिजल्ट को </t>
    </r>
    <r>
      <rPr>
        <b/>
        <sz val="20"/>
        <color theme="1"/>
        <rFont val="Aparajita"/>
        <family val="1"/>
      </rPr>
      <t>प्रिंट</t>
    </r>
    <r>
      <rPr>
        <sz val="20"/>
        <color theme="1"/>
        <rFont val="Aparajita"/>
        <family val="1"/>
      </rPr>
      <t xml:space="preserve"> कर सकते हैं।</t>
    </r>
  </si>
  <si>
    <r>
      <t xml:space="preserve">1. विषयवार रिजल्ट शीट में भी कक्षा चयन के लिए </t>
    </r>
    <r>
      <rPr>
        <b/>
        <sz val="20"/>
        <color theme="1"/>
        <rFont val="Aparajita"/>
        <family val="1"/>
      </rPr>
      <t>ड्रॉपडाउन लिस्ट</t>
    </r>
    <r>
      <rPr>
        <sz val="20"/>
        <color theme="1"/>
        <rFont val="Aparajita"/>
        <family val="1"/>
      </rPr>
      <t xml:space="preserve"> उपलब्ध है।</t>
    </r>
  </si>
  <si>
    <r>
      <t xml:space="preserve">2. वहाँ से कक्षा </t>
    </r>
    <r>
      <rPr>
        <b/>
        <sz val="20"/>
        <color theme="1"/>
        <rFont val="Aparajita"/>
        <family val="1"/>
      </rPr>
      <t>9, 10</t>
    </r>
    <r>
      <rPr>
        <sz val="20"/>
        <color theme="1"/>
        <rFont val="Aparajita"/>
        <family val="1"/>
      </rPr>
      <t xml:space="preserve"> या </t>
    </r>
    <r>
      <rPr>
        <b/>
        <sz val="20"/>
        <color theme="1"/>
        <rFont val="Aparajita"/>
        <family val="1"/>
      </rPr>
      <t>11, 12</t>
    </r>
    <r>
      <rPr>
        <sz val="20"/>
        <color theme="1"/>
        <rFont val="Aparajita"/>
        <family val="1"/>
      </rPr>
      <t xml:space="preserve"> में से किसी एक का चुनाव करें।</t>
    </r>
  </si>
  <si>
    <r>
      <t xml:space="preserve">3. चयन करने पर उस कक्षा का </t>
    </r>
    <r>
      <rPr>
        <b/>
        <sz val="20"/>
        <color theme="1"/>
        <rFont val="Aparajita"/>
        <family val="1"/>
      </rPr>
      <t>विषयवार परिणाम</t>
    </r>
    <r>
      <rPr>
        <sz val="20"/>
        <color theme="1"/>
        <rFont val="Aparajita"/>
        <family val="1"/>
      </rPr>
      <t xml:space="preserve"> दिखेगा।</t>
    </r>
  </si>
  <si>
    <r>
      <t xml:space="preserve">4. फिर आप इस परिणाम को भी </t>
    </r>
    <r>
      <rPr>
        <b/>
        <sz val="20"/>
        <color theme="1"/>
        <rFont val="Aparajita"/>
        <family val="1"/>
      </rPr>
      <t>प्रिंट</t>
    </r>
    <r>
      <rPr>
        <sz val="20"/>
        <color theme="1"/>
        <rFont val="Aparajita"/>
        <family val="1"/>
      </rPr>
      <t xml:space="preserve"> कर सकते हैं।</t>
    </r>
  </si>
  <si>
    <r>
      <t xml:space="preserve">जिस कक्षा का रिजल्ट प्रिंट करना है, उसे </t>
    </r>
    <r>
      <rPr>
        <b/>
        <sz val="20"/>
        <color theme="1"/>
        <rFont val="Aparajita"/>
        <family val="1"/>
      </rPr>
      <t>ड्रॉपडाउन लिस्ट से सही तरीके से चुनें</t>
    </r>
    <r>
      <rPr>
        <sz val="20"/>
        <color theme="1"/>
        <rFont val="Aparajita"/>
        <family val="1"/>
      </rPr>
      <t>।</t>
    </r>
  </si>
  <si>
    <r>
      <t xml:space="preserve">सुनिश्चित करें कि </t>
    </r>
    <r>
      <rPr>
        <b/>
        <sz val="20"/>
        <color theme="1"/>
        <rFont val="Aparajita"/>
        <family val="1"/>
      </rPr>
      <t>सभी आवश्यक ग्रेड और अनुपस्थित जानकारी</t>
    </r>
    <r>
      <rPr>
        <sz val="20"/>
        <color theme="1"/>
        <rFont val="Aparajita"/>
        <family val="1"/>
      </rPr>
      <t xml:space="preserve"> सही-सही भरी गई हो।</t>
    </r>
  </si>
  <si>
    <t xml:space="preserve">लिफाफा 1 को प्रिन्ट करने के लिए </t>
  </si>
  <si>
    <t xml:space="preserve">लिफाफा 2  को प्रिन्ट करने के लिए </t>
  </si>
  <si>
    <t xml:space="preserve">लिफाफा 3 को प्रिन्ट करने के लिए </t>
  </si>
  <si>
    <t xml:space="preserve">लिफाफा 4 को प्रिन्ट करने के लिए </t>
  </si>
  <si>
    <t xml:space="preserve">लिफाफा 5  को प्रिन्ट करने के लिए </t>
  </si>
  <si>
    <t>कक्षा 1 से 5 तक के परीक्षा प्रतिफल श्रेणीवार</t>
  </si>
  <si>
    <t xml:space="preserve">माउस को नीचे दिए गए लिफ़ाफ़ों पर ले जाने  से कोन से लिफ़ाफ़े में क्या है </t>
  </si>
  <si>
    <t xml:space="preserve">प्रिन्ट हेतु </t>
  </si>
  <si>
    <t>कक्षा 12 के परीक्षा प्रतिफल श्रेणीवार</t>
  </si>
  <si>
    <t>कक्षा 10 के परीक्षा प्रतिफल श्रेणीवार</t>
  </si>
  <si>
    <t xml:space="preserve">विषयवार परीक्षा प्रतिफल कक्षा 9 </t>
  </si>
  <si>
    <t xml:space="preserve">विषयवार परीक्षा प्रतिफल कक्षा 10 </t>
  </si>
  <si>
    <t xml:space="preserve">विषयवार परीक्षा प्रतिफल कक्षा 11 </t>
  </si>
  <si>
    <t xml:space="preserve">विषयवार परीक्षा प्रतिफल कक्षा 12 </t>
  </si>
  <si>
    <t xml:space="preserve">विषयवार परीक्षा प्रतिफल कक्षा 6 से 8 </t>
  </si>
  <si>
    <t xml:space="preserve">राजकीय उच्च माध्यमिक विद्यालय ,मोराझड़ी (214242) श्रीनगर </t>
  </si>
  <si>
    <t xml:space="preserve">विद्यालय का नाम शीट लिफाफा प्रिन्ट  में लिखे अनिवार्य है </t>
  </si>
  <si>
    <t xml:space="preserve">शिवराज मेघवंशी 
मो.9636731794 </t>
  </si>
  <si>
    <t xml:space="preserve">विषय की एंट्री यंहा करे </t>
  </si>
  <si>
    <t>pass -9636731794</t>
  </si>
  <si>
    <t>Student_Record 1</t>
  </si>
  <si>
    <t>STUDENTDATA</t>
  </si>
  <si>
    <t>LIFAFA_5</t>
  </si>
  <si>
    <t>LIFAFA_1</t>
  </si>
  <si>
    <t xml:space="preserve">आपको सिर्फ 4  शीट पर वर्क करना है सबसे पहले तो अपने विद्यालय का डाटा शीट Student_Record 1 में डाले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</si>
</sst>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DevLys 010"/>
    </font>
    <font>
      <b/>
      <sz val="20"/>
      <color theme="1"/>
      <name val="Aparajita"/>
      <family val="1"/>
    </font>
    <font>
      <b/>
      <sz val="20"/>
      <color rgb="FF00B0F0"/>
      <name val="Calibri"/>
      <family val="2"/>
      <scheme val="minor"/>
    </font>
    <font>
      <b/>
      <sz val="14"/>
      <color theme="1"/>
      <name val="DevLys 010"/>
    </font>
    <font>
      <b/>
      <sz val="16"/>
      <color theme="1"/>
      <name val="Kokila"/>
      <family val="2"/>
    </font>
    <font>
      <b/>
      <sz val="9"/>
      <color indexed="81"/>
      <name val="Tahoma"/>
      <family val="2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theme="1"/>
      <name val="DevLys 010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color theme="1"/>
      <name val="DevLys 010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5"/>
      <color theme="1"/>
      <name val="DevLys 010"/>
    </font>
    <font>
      <b/>
      <sz val="13"/>
      <color theme="1"/>
      <name val="DevLys 010"/>
    </font>
    <font>
      <sz val="12"/>
      <color theme="1"/>
      <name val="DevLys 010"/>
    </font>
    <font>
      <b/>
      <sz val="10"/>
      <color theme="1"/>
      <name val="Times New Roman"/>
      <family val="1"/>
    </font>
    <font>
      <b/>
      <sz val="11"/>
      <color theme="1"/>
      <name val="Aparajita"/>
      <family val="1"/>
    </font>
    <font>
      <sz val="11"/>
      <color theme="1"/>
      <name val="Aparajita"/>
      <family val="1"/>
    </font>
    <font>
      <i/>
      <sz val="14"/>
      <color theme="1"/>
      <name val="Aparajita"/>
      <family val="1"/>
    </font>
    <font>
      <b/>
      <sz val="16"/>
      <color theme="1"/>
      <name val="Aparajita"/>
      <family val="1"/>
    </font>
    <font>
      <b/>
      <sz val="18"/>
      <color theme="1"/>
      <name val="Aparajita"/>
      <family val="1"/>
    </font>
    <font>
      <b/>
      <sz val="28"/>
      <color theme="1"/>
      <name val="Aparajita"/>
      <family val="1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i/>
      <sz val="12"/>
      <color rgb="FFFF0000"/>
      <name val="Aparajita"/>
      <family val="1"/>
    </font>
    <font>
      <sz val="22"/>
      <color theme="1"/>
      <name val="Aparajita"/>
      <family val="1"/>
    </font>
    <font>
      <sz val="26"/>
      <color theme="1"/>
      <name val="Aparajita"/>
      <family val="1"/>
    </font>
    <font>
      <sz val="36"/>
      <color theme="1"/>
      <name val="Aparajita"/>
      <family val="1"/>
    </font>
    <font>
      <b/>
      <sz val="22"/>
      <color theme="1"/>
      <name val="Aparajita"/>
      <family val="1"/>
    </font>
    <font>
      <b/>
      <sz val="26"/>
      <color theme="1"/>
      <name val="Aparajita"/>
      <family val="1"/>
    </font>
    <font>
      <b/>
      <sz val="28"/>
      <color rgb="FFFF0000"/>
      <name val="Aparajita"/>
      <family val="1"/>
    </font>
    <font>
      <sz val="20"/>
      <color theme="1"/>
      <name val="Aparajita"/>
      <family val="1"/>
    </font>
    <font>
      <b/>
      <sz val="16"/>
      <color rgb="FFFF0000"/>
      <name val="Aparajita"/>
      <family val="1"/>
    </font>
    <font>
      <b/>
      <i/>
      <sz val="16"/>
      <color rgb="FFFF0000"/>
      <name val="Aparajita"/>
      <family val="1"/>
    </font>
    <font>
      <sz val="16"/>
      <color theme="1"/>
      <name val="Aparajita"/>
      <family val="1"/>
    </font>
    <font>
      <b/>
      <sz val="20"/>
      <color rgb="FFFF0000"/>
      <name val="Aparajita"/>
      <family val="1"/>
    </font>
    <font>
      <b/>
      <sz val="9"/>
      <color indexed="81"/>
      <name val="Aparajita"/>
      <family val="1"/>
    </font>
    <font>
      <sz val="20"/>
      <color rgb="FF00FF00"/>
      <name val="Aparajita"/>
      <family val="1"/>
    </font>
    <font>
      <b/>
      <sz val="10"/>
      <color indexed="81"/>
      <name val="Aparajita"/>
      <family val="1"/>
    </font>
    <font>
      <b/>
      <i/>
      <sz val="14"/>
      <color rgb="FFFF0000"/>
      <name val="Aparajita"/>
      <family val="1"/>
    </font>
    <font>
      <b/>
      <sz val="16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6"/>
      <color theme="1"/>
      <name val="DevLys 010"/>
    </font>
    <font>
      <b/>
      <sz val="14"/>
      <color theme="1"/>
      <name val="Aparajita"/>
      <family val="1"/>
    </font>
    <font>
      <b/>
      <sz val="11"/>
      <color rgb="FF002060"/>
      <name val="Aparajita"/>
      <family val="1"/>
    </font>
    <font>
      <b/>
      <sz val="14"/>
      <color rgb="FFFF0000"/>
      <name val="Aparajita"/>
      <family val="1"/>
    </font>
    <font>
      <sz val="9"/>
      <color indexed="81"/>
      <name val="Tahoma"/>
    </font>
    <font>
      <b/>
      <sz val="9"/>
      <color indexed="81"/>
      <name val="Tahoma"/>
      <charset val="1"/>
    </font>
    <font>
      <sz val="9"/>
      <color indexed="81"/>
      <name val="Tahoma"/>
      <family val="2"/>
    </font>
    <font>
      <b/>
      <sz val="11"/>
      <color theme="0"/>
      <name val="Aparajita"/>
      <family val="1"/>
    </font>
    <font>
      <b/>
      <i/>
      <sz val="24"/>
      <color theme="1"/>
      <name val="Aparajita"/>
      <family val="1"/>
    </font>
    <font>
      <b/>
      <sz val="24"/>
      <color theme="1"/>
      <name val="Aparajita"/>
      <family val="1"/>
    </font>
    <font>
      <b/>
      <sz val="12"/>
      <color theme="0"/>
      <name val="Aparajita"/>
      <family val="1"/>
    </font>
    <font>
      <b/>
      <sz val="12"/>
      <color rgb="FFFF0000"/>
      <name val="Aparajita"/>
      <family val="1"/>
    </font>
    <font>
      <u/>
      <sz val="18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ADD8E6"/>
        <bgColor indexed="64"/>
      </patternFill>
    </fill>
    <fill>
      <patternFill patternType="solid">
        <fgColor theme="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3">
    <xf numFmtId="0" fontId="0" fillId="0" borderId="0"/>
    <xf numFmtId="9" fontId="15" fillId="0" borderId="0" applyFont="0" applyFill="0" applyBorder="0" applyAlignment="0" applyProtection="0"/>
    <xf numFmtId="0" fontId="16" fillId="0" borderId="0" applyNumberFormat="0" applyFill="0" applyBorder="0" applyAlignment="0" applyProtection="0"/>
  </cellStyleXfs>
  <cellXfs count="165">
    <xf numFmtId="0" fontId="0" fillId="0" borderId="0" xfId="0"/>
    <xf numFmtId="0" fontId="1" fillId="0" borderId="13" xfId="0" applyFont="1" applyBorder="1" applyAlignment="1">
      <alignment horizontal="center" vertical="center" wrapText="1"/>
    </xf>
    <xf numFmtId="0" fontId="0" fillId="0" borderId="13" xfId="0" applyBorder="1" applyAlignment="1">
      <alignment wrapText="1"/>
    </xf>
    <xf numFmtId="14" fontId="0" fillId="0" borderId="13" xfId="0" applyNumberFormat="1" applyBorder="1" applyAlignment="1">
      <alignment wrapText="1"/>
    </xf>
    <xf numFmtId="0" fontId="39" fillId="0" borderId="0" xfId="0" applyFont="1" applyFill="1" applyBorder="1" applyAlignment="1" applyProtection="1">
      <alignment vertical="center"/>
      <protection hidden="1"/>
    </xf>
    <xf numFmtId="0" fontId="40" fillId="0" borderId="0" xfId="0" applyFont="1" applyFill="1" applyBorder="1" applyAlignment="1" applyProtection="1">
      <alignment horizontal="center" vertical="center"/>
      <protection hidden="1"/>
    </xf>
    <xf numFmtId="0" fontId="30" fillId="0" borderId="0" xfId="0" applyFont="1" applyFill="1" applyBorder="1" applyAlignment="1" applyProtection="1">
      <alignment vertical="center"/>
      <protection hidden="1"/>
    </xf>
    <xf numFmtId="0" fontId="0" fillId="0" borderId="0" xfId="0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30" fillId="0" borderId="0" xfId="0" applyFont="1" applyFill="1" applyBorder="1" applyAlignment="1" applyProtection="1">
      <alignment horizontal="center" vertical="center"/>
      <protection hidden="1"/>
    </xf>
    <xf numFmtId="0" fontId="22" fillId="0" borderId="0" xfId="0" applyFont="1" applyFill="1" applyBorder="1" applyAlignment="1" applyProtection="1">
      <alignment horizontal="center" vertical="center"/>
      <protection hidden="1"/>
    </xf>
    <xf numFmtId="0" fontId="30" fillId="0" borderId="0" xfId="0" applyFont="1" applyFill="1" applyBorder="1" applyAlignment="1" applyProtection="1">
      <alignment horizontal="center" vertical="center"/>
      <protection locked="0" hidden="1"/>
    </xf>
    <xf numFmtId="0" fontId="3" fillId="5" borderId="0" xfId="0" applyFont="1" applyFill="1" applyAlignment="1">
      <alignment horizontal="left" indent="22"/>
    </xf>
    <xf numFmtId="0" fontId="37" fillId="5" borderId="0" xfId="0" applyFont="1" applyFill="1" applyAlignment="1">
      <alignment horizontal="left" indent="22"/>
    </xf>
    <xf numFmtId="0" fontId="41" fillId="5" borderId="0" xfId="0" applyFont="1" applyFill="1" applyAlignment="1">
      <alignment horizontal="left" indent="22"/>
    </xf>
    <xf numFmtId="0" fontId="0" fillId="0" borderId="0" xfId="0" applyAlignment="1" applyProtection="1">
      <alignment horizontal="center" vertical="center"/>
      <protection hidden="1"/>
    </xf>
    <xf numFmtId="0" fontId="11" fillId="0" borderId="0" xfId="0" applyFont="1" applyBorder="1" applyAlignment="1" applyProtection="1">
      <alignment horizontal="center" vertical="center"/>
      <protection hidden="1"/>
    </xf>
    <xf numFmtId="0" fontId="9" fillId="0" borderId="0" xfId="0" applyFont="1" applyAlignment="1" applyProtection="1">
      <alignment horizontal="center" vertical="center"/>
      <protection hidden="1"/>
    </xf>
    <xf numFmtId="0" fontId="10" fillId="0" borderId="3" xfId="0" applyFont="1" applyBorder="1" applyAlignment="1" applyProtection="1">
      <alignment horizontal="center" vertical="center"/>
      <protection hidden="1"/>
    </xf>
    <xf numFmtId="0" fontId="12" fillId="0" borderId="0" xfId="0" applyFont="1" applyAlignment="1" applyProtection="1">
      <alignment horizontal="center" vertical="center"/>
      <protection hidden="1"/>
    </xf>
    <xf numFmtId="0" fontId="13" fillId="0" borderId="3" xfId="0" applyFont="1" applyBorder="1" applyAlignment="1" applyProtection="1">
      <alignment horizontal="center" vertical="center"/>
      <protection hidden="1"/>
    </xf>
    <xf numFmtId="0" fontId="14" fillId="0" borderId="3" xfId="0" applyFont="1" applyBorder="1" applyAlignment="1" applyProtection="1">
      <alignment horizontal="center" vertical="center"/>
      <protection hidden="1"/>
    </xf>
    <xf numFmtId="1" fontId="12" fillId="0" borderId="3" xfId="0" applyNumberFormat="1" applyFont="1" applyBorder="1" applyAlignment="1" applyProtection="1">
      <alignment horizontal="center" vertical="center"/>
      <protection hidden="1"/>
    </xf>
    <xf numFmtId="0" fontId="12" fillId="0" borderId="3" xfId="0" applyFont="1" applyBorder="1" applyAlignment="1" applyProtection="1">
      <alignment horizontal="center" vertical="center"/>
      <protection hidden="1"/>
    </xf>
    <xf numFmtId="0" fontId="1" fillId="0" borderId="3" xfId="0" applyFont="1" applyBorder="1" applyAlignment="1" applyProtection="1">
      <alignment horizontal="center" vertical="center"/>
      <protection hidden="1"/>
    </xf>
    <xf numFmtId="0" fontId="2" fillId="0" borderId="3" xfId="0" applyFont="1" applyBorder="1" applyAlignment="1" applyProtection="1">
      <alignment horizontal="center" vertical="center"/>
      <protection hidden="1"/>
    </xf>
    <xf numFmtId="0" fontId="11" fillId="0" borderId="3" xfId="0" applyFont="1" applyBorder="1" applyAlignment="1" applyProtection="1">
      <alignment horizontal="center" vertical="center"/>
      <protection hidden="1"/>
    </xf>
    <xf numFmtId="0" fontId="43" fillId="6" borderId="0" xfId="0" applyFont="1" applyFill="1" applyAlignment="1">
      <alignment horizontal="left" indent="22"/>
    </xf>
    <xf numFmtId="0" fontId="0" fillId="0" borderId="0" xfId="0" applyProtection="1">
      <protection hidden="1"/>
    </xf>
    <xf numFmtId="0" fontId="23" fillId="0" borderId="0" xfId="0" applyFont="1" applyAlignment="1" applyProtection="1">
      <protection hidden="1"/>
    </xf>
    <xf numFmtId="0" fontId="22" fillId="0" borderId="0" xfId="0" applyFont="1" applyAlignment="1" applyProtection="1">
      <protection hidden="1"/>
    </xf>
    <xf numFmtId="0" fontId="0" fillId="0" borderId="0" xfId="0" applyAlignment="1" applyProtection="1">
      <protection hidden="1"/>
    </xf>
    <xf numFmtId="0" fontId="21" fillId="0" borderId="2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 applyProtection="1">
      <alignment horizontal="center" vertical="center"/>
      <protection hidden="1"/>
    </xf>
    <xf numFmtId="0" fontId="23" fillId="0" borderId="0" xfId="0" applyFont="1" applyBorder="1" applyAlignment="1" applyProtection="1">
      <alignment horizontal="center" vertical="center"/>
      <protection locked="0" hidden="1"/>
    </xf>
    <xf numFmtId="0" fontId="23" fillId="0" borderId="0" xfId="0" applyFont="1" applyBorder="1" applyAlignment="1" applyProtection="1">
      <protection locked="0" hidden="1"/>
    </xf>
    <xf numFmtId="2" fontId="23" fillId="0" borderId="0" xfId="1" applyNumberFormat="1" applyFont="1" applyBorder="1" applyAlignment="1" applyProtection="1">
      <alignment horizontal="center" vertical="center"/>
      <protection hidden="1"/>
    </xf>
    <xf numFmtId="0" fontId="18" fillId="0" borderId="2" xfId="0" applyFont="1" applyBorder="1" applyAlignment="1" applyProtection="1">
      <alignment horizontal="center" vertical="center" wrapText="1"/>
      <protection hidden="1"/>
    </xf>
    <xf numFmtId="0" fontId="19" fillId="0" borderId="0" xfId="0" applyFont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0" fontId="17" fillId="0" borderId="0" xfId="0" applyFont="1" applyFill="1" applyAlignment="1" applyProtection="1">
      <alignment vertical="center"/>
      <protection hidden="1"/>
    </xf>
    <xf numFmtId="0" fontId="1" fillId="0" borderId="0" xfId="0" applyFont="1" applyBorder="1" applyAlignment="1" applyProtection="1">
      <alignment horizontal="center" vertical="center"/>
      <protection locked="0" hidden="1"/>
    </xf>
    <xf numFmtId="0" fontId="16" fillId="0" borderId="0" xfId="2" applyBorder="1" applyAlignment="1" applyProtection="1">
      <alignment horizontal="center" vertical="center" wrapText="1"/>
      <protection locked="0" hidden="1"/>
    </xf>
    <xf numFmtId="0" fontId="0" fillId="0" borderId="0" xfId="0" applyBorder="1" applyAlignment="1" applyProtection="1">
      <alignment horizontal="center" vertical="center"/>
      <protection locked="0" hidden="1"/>
    </xf>
    <xf numFmtId="0" fontId="0" fillId="0" borderId="0" xfId="0" applyAlignment="1" applyProtection="1">
      <alignment horizontal="center" vertical="center"/>
      <protection locked="0" hidden="1"/>
    </xf>
    <xf numFmtId="0" fontId="11" fillId="0" borderId="0" xfId="0" applyFont="1" applyBorder="1" applyAlignment="1" applyProtection="1">
      <alignment vertical="center"/>
      <protection hidden="1"/>
    </xf>
    <xf numFmtId="0" fontId="11" fillId="0" borderId="11" xfId="0" applyFont="1" applyBorder="1" applyAlignment="1" applyProtection="1">
      <alignment horizontal="center" vertical="center"/>
      <protection hidden="1"/>
    </xf>
    <xf numFmtId="0" fontId="10" fillId="0" borderId="0" xfId="0" applyFont="1" applyBorder="1" applyAlignment="1" applyProtection="1">
      <alignment horizontal="center" vertical="center"/>
      <protection hidden="1"/>
    </xf>
    <xf numFmtId="0" fontId="12" fillId="0" borderId="11" xfId="0" applyFont="1" applyBorder="1" applyAlignment="1" applyProtection="1">
      <alignment horizontal="center" vertical="center"/>
      <protection hidden="1"/>
    </xf>
    <xf numFmtId="0" fontId="12" fillId="0" borderId="0" xfId="0" applyFont="1" applyBorder="1" applyAlignment="1" applyProtection="1">
      <alignment horizontal="center" vertical="center"/>
      <protection hidden="1"/>
    </xf>
    <xf numFmtId="0" fontId="1" fillId="0" borderId="3" xfId="0" applyFont="1" applyBorder="1" applyAlignment="1" applyProtection="1">
      <alignment horizontal="center" vertical="center"/>
      <protection hidden="1"/>
    </xf>
    <xf numFmtId="0" fontId="0" fillId="0" borderId="3" xfId="0" applyBorder="1" applyAlignment="1" applyProtection="1">
      <alignment horizontal="center" vertical="center"/>
      <protection hidden="1"/>
    </xf>
    <xf numFmtId="0" fontId="12" fillId="0" borderId="3" xfId="0" applyFont="1" applyBorder="1" applyAlignment="1" applyProtection="1">
      <alignment horizontal="center" vertical="center"/>
      <protection hidden="1"/>
    </xf>
    <xf numFmtId="0" fontId="3" fillId="0" borderId="0" xfId="0" applyFont="1" applyAlignment="1" applyProtection="1">
      <alignment vertical="center"/>
      <protection hidden="1"/>
    </xf>
    <xf numFmtId="0" fontId="2" fillId="0" borderId="3" xfId="0" applyFont="1" applyBorder="1" applyProtection="1">
      <protection hidden="1"/>
    </xf>
    <xf numFmtId="1" fontId="0" fillId="0" borderId="3" xfId="0" applyNumberFormat="1" applyBorder="1" applyAlignment="1" applyProtection="1">
      <alignment horizontal="center" vertical="center"/>
      <protection hidden="1"/>
    </xf>
    <xf numFmtId="0" fontId="0" fillId="0" borderId="0" xfId="0" applyBorder="1" applyProtection="1">
      <protection hidden="1"/>
    </xf>
    <xf numFmtId="1" fontId="0" fillId="0" borderId="0" xfId="0" applyNumberFormat="1" applyBorder="1" applyAlignment="1" applyProtection="1">
      <alignment vertical="center"/>
      <protection hidden="1"/>
    </xf>
    <xf numFmtId="0" fontId="4" fillId="2" borderId="14" xfId="0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vertical="center"/>
      <protection hidden="1"/>
    </xf>
    <xf numFmtId="0" fontId="28" fillId="0" borderId="0" xfId="0" applyFont="1" applyBorder="1" applyAlignment="1" applyProtection="1">
      <alignment horizontal="center" vertical="center"/>
      <protection hidden="1"/>
    </xf>
    <xf numFmtId="0" fontId="46" fillId="0" borderId="3" xfId="0" applyFont="1" applyBorder="1" applyAlignment="1" applyProtection="1">
      <alignment horizontal="center" vertical="center"/>
      <protection hidden="1"/>
    </xf>
    <xf numFmtId="0" fontId="48" fillId="0" borderId="3" xfId="0" applyFont="1" applyBorder="1" applyAlignment="1" applyProtection="1">
      <alignment horizontal="center" vertical="center"/>
      <protection hidden="1"/>
    </xf>
    <xf numFmtId="0" fontId="27" fillId="0" borderId="3" xfId="0" applyFont="1" applyBorder="1" applyAlignment="1" applyProtection="1">
      <alignment horizontal="center" vertical="center"/>
      <protection hidden="1"/>
    </xf>
    <xf numFmtId="0" fontId="8" fillId="0" borderId="0" xfId="0" applyFont="1" applyAlignment="1" applyProtection="1">
      <alignment horizontal="center" vertical="center"/>
      <protection hidden="1"/>
    </xf>
    <xf numFmtId="0" fontId="47" fillId="0" borderId="3" xfId="0" applyFont="1" applyBorder="1" applyAlignment="1" applyProtection="1">
      <alignment horizontal="center" vertical="center"/>
      <protection hidden="1"/>
    </xf>
    <xf numFmtId="1" fontId="47" fillId="0" borderId="3" xfId="0" applyNumberFormat="1" applyFont="1" applyBorder="1" applyAlignment="1" applyProtection="1">
      <alignment horizontal="center" vertical="center"/>
      <protection hidden="1"/>
    </xf>
    <xf numFmtId="0" fontId="47" fillId="0" borderId="0" xfId="0" applyFont="1" applyAlignment="1" applyProtection="1">
      <alignment horizontal="center" vertical="center"/>
      <protection hidden="1"/>
    </xf>
    <xf numFmtId="0" fontId="47" fillId="0" borderId="0" xfId="0" applyFont="1" applyBorder="1" applyAlignment="1" applyProtection="1">
      <alignment vertical="center"/>
      <protection hidden="1"/>
    </xf>
    <xf numFmtId="0" fontId="0" fillId="0" borderId="17" xfId="0" applyFill="1" applyBorder="1" applyAlignment="1">
      <alignment wrapText="1"/>
    </xf>
    <xf numFmtId="0" fontId="39" fillId="2" borderId="0" xfId="0" applyFont="1" applyFill="1" applyBorder="1" applyAlignment="1" applyProtection="1">
      <alignment horizontal="center" vertical="center"/>
      <protection hidden="1"/>
    </xf>
    <xf numFmtId="0" fontId="38" fillId="2" borderId="0" xfId="0" applyFont="1" applyFill="1" applyBorder="1" applyAlignment="1" applyProtection="1">
      <alignment horizontal="center" vertical="center" wrapText="1"/>
      <protection hidden="1"/>
    </xf>
    <xf numFmtId="0" fontId="51" fillId="2" borderId="0" xfId="0" applyFont="1" applyFill="1" applyBorder="1" applyAlignment="1" applyProtection="1">
      <alignment horizontal="center" vertical="center" wrapText="1"/>
      <protection hidden="1"/>
    </xf>
    <xf numFmtId="0" fontId="1" fillId="7" borderId="13" xfId="0" applyFont="1" applyFill="1" applyBorder="1" applyAlignment="1" applyProtection="1">
      <alignment horizontal="center" vertical="center" wrapText="1"/>
      <protection hidden="1"/>
    </xf>
    <xf numFmtId="0" fontId="30" fillId="7" borderId="13" xfId="0" applyFont="1" applyFill="1" applyBorder="1" applyAlignment="1" applyProtection="1">
      <alignment horizontal="center" vertical="center"/>
      <protection locked="0" hidden="1"/>
    </xf>
    <xf numFmtId="0" fontId="49" fillId="0" borderId="0" xfId="0" applyFont="1" applyBorder="1" applyAlignment="1" applyProtection="1">
      <alignment horizontal="center" vertical="center"/>
      <protection hidden="1"/>
    </xf>
    <xf numFmtId="0" fontId="40" fillId="0" borderId="0" xfId="0" applyFont="1" applyFill="1" applyBorder="1" applyAlignment="1" applyProtection="1">
      <alignment horizontal="center" vertical="center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0" fillId="0" borderId="3" xfId="0" applyBorder="1" applyAlignment="1" applyProtection="1">
      <alignment horizontal="center" vertical="center"/>
      <protection hidden="1"/>
    </xf>
    <xf numFmtId="0" fontId="2" fillId="0" borderId="3" xfId="0" applyFont="1" applyBorder="1" applyAlignment="1" applyProtection="1">
      <alignment horizontal="center" vertical="center"/>
      <protection hidden="1"/>
    </xf>
    <xf numFmtId="0" fontId="2" fillId="2" borderId="3" xfId="0" applyFont="1" applyFill="1" applyBorder="1" applyAlignment="1" applyProtection="1">
      <alignment horizontal="center" vertical="center"/>
      <protection hidden="1"/>
    </xf>
    <xf numFmtId="0" fontId="1" fillId="0" borderId="3" xfId="0" applyFont="1" applyBorder="1" applyAlignment="1" applyProtection="1">
      <alignment horizontal="center" vertical="center"/>
      <protection hidden="1"/>
    </xf>
    <xf numFmtId="0" fontId="5" fillId="0" borderId="1" xfId="0" applyFont="1" applyBorder="1" applyAlignment="1" applyProtection="1">
      <alignment horizontal="center" vertical="center"/>
      <protection hidden="1"/>
    </xf>
    <xf numFmtId="0" fontId="6" fillId="2" borderId="3" xfId="0" applyFont="1" applyFill="1" applyBorder="1" applyAlignment="1" applyProtection="1">
      <alignment horizontal="center" vertical="center"/>
      <protection hidden="1"/>
    </xf>
    <xf numFmtId="0" fontId="0" fillId="0" borderId="2" xfId="0" applyBorder="1" applyAlignment="1" applyProtection="1">
      <alignment horizontal="center" vertical="center" wrapText="1"/>
      <protection hidden="1"/>
    </xf>
    <xf numFmtId="0" fontId="0" fillId="0" borderId="7" xfId="0" applyBorder="1" applyAlignment="1" applyProtection="1">
      <alignment horizontal="center" vertical="center" wrapText="1"/>
      <protection hidden="1"/>
    </xf>
    <xf numFmtId="0" fontId="0" fillId="0" borderId="10" xfId="0" applyBorder="1" applyAlignment="1" applyProtection="1">
      <alignment horizontal="center" vertical="center" wrapText="1"/>
      <protection hidden="1"/>
    </xf>
    <xf numFmtId="0" fontId="2" fillId="0" borderId="2" xfId="0" applyFont="1" applyBorder="1" applyAlignment="1" applyProtection="1">
      <alignment horizontal="center" vertical="center"/>
      <protection hidden="1"/>
    </xf>
    <xf numFmtId="0" fontId="2" fillId="0" borderId="7" xfId="0" applyFont="1" applyBorder="1" applyAlignment="1" applyProtection="1">
      <alignment horizontal="center" vertical="center"/>
      <protection hidden="1"/>
    </xf>
    <xf numFmtId="0" fontId="2" fillId="0" borderId="10" xfId="0" applyFont="1" applyBorder="1" applyAlignment="1" applyProtection="1">
      <alignment horizontal="center" vertical="center"/>
      <protection hidden="1"/>
    </xf>
    <xf numFmtId="0" fontId="2" fillId="0" borderId="4" xfId="0" applyFont="1" applyBorder="1" applyAlignment="1" applyProtection="1">
      <alignment horizontal="center" vertical="center"/>
      <protection hidden="1"/>
    </xf>
    <xf numFmtId="0" fontId="2" fillId="0" borderId="5" xfId="0" applyFont="1" applyBorder="1" applyAlignment="1" applyProtection="1">
      <alignment horizontal="center" vertical="center"/>
      <protection hidden="1"/>
    </xf>
    <xf numFmtId="0" fontId="2" fillId="0" borderId="6" xfId="0" applyFont="1" applyBorder="1" applyAlignment="1" applyProtection="1">
      <alignment horizontal="center" vertical="center"/>
      <protection hidden="1"/>
    </xf>
    <xf numFmtId="0" fontId="2" fillId="0" borderId="8" xfId="0" applyFont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9" xfId="0" applyFont="1" applyBorder="1" applyAlignment="1" applyProtection="1">
      <alignment horizontal="center" vertical="center"/>
      <protection hidden="1"/>
    </xf>
    <xf numFmtId="0" fontId="6" fillId="0" borderId="3" xfId="0" applyFont="1" applyBorder="1" applyAlignment="1" applyProtection="1">
      <alignment horizontal="center" vertical="center"/>
      <protection hidden="1"/>
    </xf>
    <xf numFmtId="0" fontId="3" fillId="0" borderId="0" xfId="0" applyFont="1" applyAlignment="1" applyProtection="1">
      <alignment horizontal="center" vertical="center"/>
      <protection locked="0" hidden="1"/>
    </xf>
    <xf numFmtId="0" fontId="11" fillId="0" borderId="0" xfId="0" applyFont="1" applyBorder="1" applyAlignment="1" applyProtection="1">
      <alignment horizontal="center" vertical="center"/>
      <protection hidden="1"/>
    </xf>
    <xf numFmtId="0" fontId="0" fillId="0" borderId="3" xfId="0" applyBorder="1" applyAlignment="1" applyProtection="1">
      <alignment horizontal="center" vertical="center" wrapText="1"/>
      <protection hidden="1"/>
    </xf>
    <xf numFmtId="0" fontId="11" fillId="2" borderId="3" xfId="0" applyFont="1" applyFill="1" applyBorder="1" applyAlignment="1" applyProtection="1">
      <alignment horizontal="center" vertical="center"/>
      <protection hidden="1"/>
    </xf>
    <xf numFmtId="0" fontId="8" fillId="0" borderId="3" xfId="0" applyFont="1" applyBorder="1" applyAlignment="1" applyProtection="1">
      <alignment horizontal="center" vertical="center"/>
      <protection hidden="1"/>
    </xf>
    <xf numFmtId="0" fontId="11" fillId="2" borderId="11" xfId="0" applyFont="1" applyFill="1" applyBorder="1" applyAlignment="1" applyProtection="1">
      <alignment horizontal="center" vertical="center"/>
      <protection hidden="1"/>
    </xf>
    <xf numFmtId="0" fontId="11" fillId="2" borderId="12" xfId="0" applyFont="1" applyFill="1" applyBorder="1" applyAlignment="1" applyProtection="1">
      <alignment horizontal="center" vertical="center"/>
      <protection hidden="1"/>
    </xf>
    <xf numFmtId="0" fontId="1" fillId="0" borderId="11" xfId="0" applyFont="1" applyBorder="1" applyAlignment="1" applyProtection="1">
      <alignment horizontal="center" vertical="center"/>
      <protection hidden="1"/>
    </xf>
    <xf numFmtId="0" fontId="12" fillId="0" borderId="11" xfId="0" applyFont="1" applyBorder="1" applyAlignment="1" applyProtection="1">
      <alignment horizontal="center" vertical="center"/>
      <protection hidden="1"/>
    </xf>
    <xf numFmtId="0" fontId="12" fillId="0" borderId="12" xfId="0" applyFont="1" applyBorder="1" applyAlignment="1" applyProtection="1">
      <alignment horizontal="center" vertical="center"/>
      <protection hidden="1"/>
    </xf>
    <xf numFmtId="0" fontId="12" fillId="0" borderId="15" xfId="0" applyFont="1" applyBorder="1" applyAlignment="1" applyProtection="1">
      <alignment horizontal="center" vertical="center"/>
      <protection hidden="1"/>
    </xf>
    <xf numFmtId="0" fontId="12" fillId="0" borderId="3" xfId="0" applyFont="1" applyBorder="1" applyAlignment="1" applyProtection="1">
      <alignment horizontal="center" vertical="center"/>
      <protection hidden="1"/>
    </xf>
    <xf numFmtId="0" fontId="1" fillId="0" borderId="0" xfId="0" applyFont="1" applyBorder="1" applyAlignment="1" applyProtection="1">
      <alignment horizontal="center" vertical="center"/>
      <protection hidden="1"/>
    </xf>
    <xf numFmtId="0" fontId="0" fillId="0" borderId="2" xfId="0" applyBorder="1" applyAlignment="1" applyProtection="1">
      <alignment horizontal="center" vertical="center"/>
      <protection hidden="1"/>
    </xf>
    <xf numFmtId="0" fontId="0" fillId="0" borderId="10" xfId="0" applyBorder="1" applyAlignment="1" applyProtection="1">
      <alignment horizontal="center" vertical="center"/>
      <protection hidden="1"/>
    </xf>
    <xf numFmtId="0" fontId="11" fillId="2" borderId="15" xfId="0" applyFont="1" applyFill="1" applyBorder="1" applyAlignment="1" applyProtection="1">
      <alignment horizontal="center" vertical="center"/>
      <protection hidden="1"/>
    </xf>
    <xf numFmtId="0" fontId="3" fillId="0" borderId="3" xfId="0" applyFont="1" applyBorder="1" applyAlignment="1" applyProtection="1">
      <alignment horizontal="center" vertical="center"/>
      <protection hidden="1"/>
    </xf>
    <xf numFmtId="0" fontId="24" fillId="0" borderId="0" xfId="0" applyFont="1" applyAlignment="1" applyProtection="1">
      <alignment horizontal="center" vertical="center"/>
      <protection hidden="1"/>
    </xf>
    <xf numFmtId="0" fontId="17" fillId="2" borderId="1" xfId="0" applyFont="1" applyFill="1" applyBorder="1" applyAlignment="1" applyProtection="1">
      <alignment horizontal="center" vertical="center"/>
      <protection hidden="1"/>
    </xf>
    <xf numFmtId="0" fontId="27" fillId="0" borderId="3" xfId="0" applyFont="1" applyBorder="1" applyAlignment="1" applyProtection="1">
      <alignment horizontal="center" vertical="center"/>
      <protection hidden="1"/>
    </xf>
    <xf numFmtId="0" fontId="25" fillId="0" borderId="1" xfId="0" applyFont="1" applyBorder="1" applyAlignment="1" applyProtection="1">
      <alignment horizontal="center" vertical="center"/>
      <protection hidden="1"/>
    </xf>
    <xf numFmtId="0" fontId="26" fillId="0" borderId="0" xfId="0" applyFont="1" applyAlignment="1" applyProtection="1">
      <alignment horizontal="center" vertical="center"/>
      <protection hidden="1"/>
    </xf>
    <xf numFmtId="0" fontId="25" fillId="3" borderId="3" xfId="0" applyFont="1" applyFill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hidden="1"/>
    </xf>
    <xf numFmtId="0" fontId="1" fillId="0" borderId="15" xfId="0" applyFont="1" applyBorder="1" applyAlignment="1" applyProtection="1">
      <alignment horizontal="center" vertical="center"/>
      <protection hidden="1"/>
    </xf>
    <xf numFmtId="0" fontId="48" fillId="0" borderId="11" xfId="0" applyFont="1" applyBorder="1" applyAlignment="1" applyProtection="1">
      <alignment horizontal="center" vertical="center"/>
      <protection hidden="1"/>
    </xf>
    <xf numFmtId="0" fontId="48" fillId="0" borderId="12" xfId="0" applyFont="1" applyBorder="1" applyAlignment="1" applyProtection="1">
      <alignment horizontal="center" vertical="center"/>
      <protection hidden="1"/>
    </xf>
    <xf numFmtId="0" fontId="48" fillId="0" borderId="15" xfId="0" applyFont="1" applyBorder="1" applyAlignment="1" applyProtection="1">
      <alignment horizontal="center" vertical="center"/>
      <protection hidden="1"/>
    </xf>
    <xf numFmtId="0" fontId="26" fillId="2" borderId="11" xfId="0" applyFont="1" applyFill="1" applyBorder="1" applyAlignment="1" applyProtection="1">
      <alignment horizontal="center" vertical="center"/>
      <protection hidden="1"/>
    </xf>
    <xf numFmtId="0" fontId="26" fillId="2" borderId="12" xfId="0" applyFont="1" applyFill="1" applyBorder="1" applyAlignment="1" applyProtection="1">
      <alignment horizontal="center" vertical="center"/>
      <protection hidden="1"/>
    </xf>
    <xf numFmtId="0" fontId="26" fillId="2" borderId="15" xfId="0" applyFont="1" applyFill="1" applyBorder="1" applyAlignment="1" applyProtection="1">
      <alignment horizontal="center" vertical="center"/>
      <protection hidden="1"/>
    </xf>
    <xf numFmtId="0" fontId="57" fillId="0" borderId="3" xfId="0" applyFont="1" applyBorder="1" applyAlignment="1" applyProtection="1">
      <alignment horizontal="center" vertical="center"/>
      <protection hidden="1"/>
    </xf>
    <xf numFmtId="0" fontId="56" fillId="0" borderId="3" xfId="0" applyFont="1" applyBorder="1" applyAlignment="1" applyProtection="1">
      <alignment horizontal="center" vertical="center"/>
      <protection hidden="1"/>
    </xf>
    <xf numFmtId="1" fontId="47" fillId="0" borderId="11" xfId="0" applyNumberFormat="1" applyFont="1" applyBorder="1" applyAlignment="1" applyProtection="1">
      <alignment horizontal="center" vertical="center"/>
      <protection hidden="1"/>
    </xf>
    <xf numFmtId="1" fontId="47" fillId="0" borderId="12" xfId="0" applyNumberFormat="1" applyFont="1" applyBorder="1" applyAlignment="1" applyProtection="1">
      <alignment horizontal="center" vertical="center"/>
      <protection hidden="1"/>
    </xf>
    <xf numFmtId="1" fontId="47" fillId="0" borderId="15" xfId="0" applyNumberFormat="1" applyFont="1" applyBorder="1" applyAlignment="1" applyProtection="1">
      <alignment horizontal="center" vertical="center"/>
      <protection hidden="1"/>
    </xf>
    <xf numFmtId="0" fontId="47" fillId="0" borderId="11" xfId="0" applyFont="1" applyBorder="1" applyAlignment="1" applyProtection="1">
      <alignment horizontal="center" vertical="center"/>
      <protection hidden="1"/>
    </xf>
    <xf numFmtId="0" fontId="47" fillId="0" borderId="12" xfId="0" applyFont="1" applyBorder="1" applyAlignment="1" applyProtection="1">
      <alignment horizontal="center" vertical="center"/>
      <protection hidden="1"/>
    </xf>
    <xf numFmtId="0" fontId="47" fillId="0" borderId="15" xfId="0" applyFont="1" applyBorder="1" applyAlignment="1" applyProtection="1">
      <alignment horizontal="center" vertical="center"/>
      <protection hidden="1"/>
    </xf>
    <xf numFmtId="0" fontId="0" fillId="0" borderId="11" xfId="0" applyBorder="1" applyAlignment="1" applyProtection="1">
      <alignment horizontal="center" vertical="center"/>
      <protection hidden="1"/>
    </xf>
    <xf numFmtId="0" fontId="0" fillId="0" borderId="12" xfId="0" applyBorder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horizontal="center" vertical="center"/>
      <protection hidden="1"/>
    </xf>
    <xf numFmtId="1" fontId="0" fillId="0" borderId="11" xfId="0" applyNumberFormat="1" applyBorder="1" applyAlignment="1" applyProtection="1">
      <alignment horizontal="center" vertical="center"/>
      <protection hidden="1"/>
    </xf>
    <xf numFmtId="1" fontId="0" fillId="0" borderId="12" xfId="0" applyNumberFormat="1" applyBorder="1" applyAlignment="1" applyProtection="1">
      <alignment horizontal="center" vertical="center"/>
      <protection hidden="1"/>
    </xf>
    <xf numFmtId="1" fontId="0" fillId="0" borderId="15" xfId="0" applyNumberFormat="1" applyBorder="1" applyAlignment="1" applyProtection="1">
      <alignment horizontal="center" vertical="center"/>
      <protection hidden="1"/>
    </xf>
    <xf numFmtId="0" fontId="29" fillId="0" borderId="3" xfId="0" applyFont="1" applyBorder="1" applyAlignment="1" applyProtection="1">
      <alignment horizontal="center" vertical="center"/>
      <protection hidden="1"/>
    </xf>
    <xf numFmtId="0" fontId="31" fillId="0" borderId="3" xfId="0" applyFont="1" applyBorder="1" applyAlignment="1" applyProtection="1">
      <alignment horizontal="center" vertical="center"/>
      <protection hidden="1"/>
    </xf>
    <xf numFmtId="0" fontId="31" fillId="0" borderId="2" xfId="0" applyFont="1" applyBorder="1" applyAlignment="1" applyProtection="1">
      <alignment horizontal="center" vertical="center"/>
      <protection hidden="1"/>
    </xf>
    <xf numFmtId="0" fontId="31" fillId="0" borderId="10" xfId="0" applyFont="1" applyBorder="1" applyAlignment="1" applyProtection="1">
      <alignment horizontal="center" vertical="center"/>
      <protection hidden="1"/>
    </xf>
    <xf numFmtId="0" fontId="32" fillId="4" borderId="0" xfId="0" applyFont="1" applyFill="1" applyAlignment="1" applyProtection="1">
      <alignment horizontal="center" vertical="center"/>
      <protection hidden="1"/>
    </xf>
    <xf numFmtId="0" fontId="36" fillId="4" borderId="16" xfId="0" applyFont="1" applyFill="1" applyBorder="1" applyAlignment="1" applyProtection="1">
      <alignment horizontal="center" vertical="center"/>
      <protection hidden="1"/>
    </xf>
    <xf numFmtId="0" fontId="35" fillId="2" borderId="1" xfId="0" applyFont="1" applyFill="1" applyBorder="1" applyAlignment="1" applyProtection="1">
      <alignment horizontal="center" vertical="center"/>
      <protection hidden="1"/>
    </xf>
    <xf numFmtId="0" fontId="34" fillId="0" borderId="2" xfId="0" applyFont="1" applyBorder="1" applyAlignment="1" applyProtection="1">
      <alignment horizontal="center" vertical="center"/>
      <protection hidden="1"/>
    </xf>
    <xf numFmtId="0" fontId="34" fillId="0" borderId="10" xfId="0" applyFont="1" applyBorder="1" applyAlignment="1" applyProtection="1">
      <alignment horizontal="center" vertical="center"/>
      <protection hidden="1"/>
    </xf>
    <xf numFmtId="0" fontId="33" fillId="0" borderId="0" xfId="0" applyFont="1" applyAlignment="1" applyProtection="1">
      <alignment horizontal="center" vertical="center"/>
      <protection hidden="1"/>
    </xf>
    <xf numFmtId="0" fontId="45" fillId="2" borderId="0" xfId="0" applyNumberFormat="1" applyFont="1" applyFill="1" applyAlignment="1" applyProtection="1">
      <alignment horizontal="center" vertical="center"/>
      <protection locked="0"/>
    </xf>
    <xf numFmtId="0" fontId="49" fillId="0" borderId="3" xfId="0" applyNumberFormat="1" applyFont="1" applyBorder="1" applyAlignment="1" applyProtection="1">
      <alignment horizontal="center" vertical="center"/>
    </xf>
    <xf numFmtId="0" fontId="22" fillId="0" borderId="3" xfId="0" applyNumberFormat="1" applyFont="1" applyBorder="1" applyAlignment="1" applyProtection="1">
      <alignment horizontal="center" vertical="center"/>
    </xf>
    <xf numFmtId="0" fontId="22" fillId="0" borderId="0" xfId="0" applyNumberFormat="1" applyFont="1" applyAlignment="1" applyProtection="1">
      <alignment horizontal="center" vertical="center"/>
    </xf>
    <xf numFmtId="0" fontId="39" fillId="2" borderId="0" xfId="0" applyNumberFormat="1" applyFont="1" applyFill="1" applyBorder="1" applyAlignment="1" applyProtection="1">
      <alignment horizontal="center" vertical="center"/>
    </xf>
    <xf numFmtId="0" fontId="50" fillId="5" borderId="3" xfId="0" applyNumberFormat="1" applyFont="1" applyFill="1" applyBorder="1" applyAlignment="1" applyProtection="1">
      <alignment horizontal="center" vertical="center" wrapText="1"/>
    </xf>
    <xf numFmtId="0" fontId="22" fillId="5" borderId="3" xfId="0" applyNumberFormat="1" applyFont="1" applyFill="1" applyBorder="1" applyAlignment="1" applyProtection="1">
      <alignment horizontal="center" vertical="center" wrapText="1"/>
    </xf>
    <xf numFmtId="0" fontId="22" fillId="5" borderId="3" xfId="0" applyNumberFormat="1" applyFont="1" applyFill="1" applyBorder="1" applyAlignment="1" applyProtection="1">
      <alignment horizontal="center" vertical="center"/>
    </xf>
    <xf numFmtId="0" fontId="55" fillId="8" borderId="0" xfId="0" applyNumberFormat="1" applyFont="1" applyFill="1" applyAlignment="1" applyProtection="1">
      <alignment horizontal="center" vertical="center"/>
    </xf>
    <xf numFmtId="0" fontId="58" fillId="8" borderId="0" xfId="0" applyNumberFormat="1" applyFont="1" applyFill="1" applyAlignment="1" applyProtection="1">
      <alignment horizontal="center" vertical="center"/>
    </xf>
    <xf numFmtId="0" fontId="59" fillId="8" borderId="0" xfId="0" applyNumberFormat="1" applyFont="1" applyFill="1" applyAlignment="1" applyProtection="1">
      <alignment horizontal="center" vertical="center" wrapText="1"/>
    </xf>
    <xf numFmtId="0" fontId="60" fillId="0" borderId="0" xfId="2" applyNumberFormat="1" applyFont="1" applyAlignment="1" applyProtection="1">
      <alignment horizontal="center" vertical="center"/>
    </xf>
  </cellXfs>
  <cellStyles count="3">
    <cellStyle name="Hyperlink" xfId="2" builtinId="8"/>
    <cellStyle name="Normal" xfId="0" builtinId="0"/>
    <cellStyle name="Percent" xfId="1" builtinId="5"/>
  </cellStyles>
  <dxfs count="12">
    <dxf>
      <font>
        <color theme="0"/>
      </font>
    </dxf>
    <dxf>
      <font>
        <color theme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color theme="0"/>
      </font>
    </dxf>
    <dxf>
      <font>
        <color theme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99FFCC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eetMetadata" Target="metadata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svg"/><Relationship Id="rId1" Type="http://schemas.openxmlformats.org/officeDocument/2006/relationships/image" Target="../media/image2.png"/><Relationship Id="rId5" Type="http://schemas.microsoft.com/office/2007/relationships/hdphoto" Target="../media/hdphoto1.wdp"/><Relationship Id="rId4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jpeg"/><Relationship Id="rId2" Type="http://schemas.openxmlformats.org/officeDocument/2006/relationships/image" Target="../media/image7.svg"/><Relationship Id="rId1" Type="http://schemas.openxmlformats.org/officeDocument/2006/relationships/image" Target="../media/image6.png"/><Relationship Id="rId4" Type="http://schemas.openxmlformats.org/officeDocument/2006/relationships/image" Target="../media/image9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352425</xdr:colOff>
      <xdr:row>0</xdr:row>
      <xdr:rowOff>333375</xdr:rowOff>
    </xdr:from>
    <xdr:to>
      <xdr:col>5</xdr:col>
      <xdr:colOff>228600</xdr:colOff>
      <xdr:row>7</xdr:row>
      <xdr:rowOff>123825</xdr:rowOff>
    </xdr:to>
    <xdr:sp macro="" textlink="">
      <xdr:nvSpPr>
        <xdr:cNvPr id="2" name="Ribbon: Tilted Up 1">
          <a:extLst>
            <a:ext uri="{FF2B5EF4-FFF2-40B4-BE49-F238E27FC236}">
              <a16:creationId xmlns:a16="http://schemas.microsoft.com/office/drawing/2014/main" id="{04047EFC-4BA3-48F9-A66D-C2701242B277}"/>
            </a:ext>
          </a:extLst>
        </xdr:cNvPr>
        <xdr:cNvSpPr/>
      </xdr:nvSpPr>
      <xdr:spPr>
        <a:xfrm>
          <a:off x="9848850" y="333375"/>
          <a:ext cx="2314575" cy="2390775"/>
        </a:xfrm>
        <a:prstGeom prst="ribbon2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IN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216775</xdr:colOff>
      <xdr:row>2</xdr:row>
      <xdr:rowOff>26275</xdr:rowOff>
    </xdr:from>
    <xdr:to>
      <xdr:col>1</xdr:col>
      <xdr:colOff>545223</xdr:colOff>
      <xdr:row>2</xdr:row>
      <xdr:rowOff>354723</xdr:rowOff>
    </xdr:to>
    <xdr:pic macro="[0]!LIFAFA1">
      <xdr:nvPicPr>
        <xdr:cNvPr id="3" name="Graphic 2" descr="Document with solid fill">
          <a:extLst>
            <a:ext uri="{FF2B5EF4-FFF2-40B4-BE49-F238E27FC236}">
              <a16:creationId xmlns:a16="http://schemas.microsoft.com/office/drawing/2014/main" id="{09FC9786-76B6-4DF1-9F64-00A2B7557C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647292" y="243051"/>
          <a:ext cx="328448" cy="328448"/>
        </a:xfrm>
        <a:prstGeom prst="rect">
          <a:avLst/>
        </a:prstGeom>
      </xdr:spPr>
    </xdr:pic>
    <xdr:clientData/>
  </xdr:twoCellAnchor>
  <xdr:twoCellAnchor editAs="oneCell">
    <xdr:from>
      <xdr:col>1</xdr:col>
      <xdr:colOff>225058</xdr:colOff>
      <xdr:row>3</xdr:row>
      <xdr:rowOff>22847</xdr:rowOff>
    </xdr:from>
    <xdr:to>
      <xdr:col>1</xdr:col>
      <xdr:colOff>553506</xdr:colOff>
      <xdr:row>3</xdr:row>
      <xdr:rowOff>351295</xdr:rowOff>
    </xdr:to>
    <xdr:pic macro="[0]!LIFAFA2_CLASS9_PrintPreview">
      <xdr:nvPicPr>
        <xdr:cNvPr id="4" name="Graphic 3" descr="Document with solid fill">
          <a:extLst>
            <a:ext uri="{FF2B5EF4-FFF2-40B4-BE49-F238E27FC236}">
              <a16:creationId xmlns:a16="http://schemas.microsoft.com/office/drawing/2014/main" id="{A6085F0C-0973-41A2-83F9-005A7EF4D7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651862" y="826260"/>
          <a:ext cx="328448" cy="328448"/>
        </a:xfrm>
        <a:prstGeom prst="rect">
          <a:avLst/>
        </a:prstGeom>
      </xdr:spPr>
    </xdr:pic>
    <xdr:clientData/>
  </xdr:twoCellAnchor>
  <xdr:twoCellAnchor editAs="oneCell">
    <xdr:from>
      <xdr:col>1</xdr:col>
      <xdr:colOff>226772</xdr:colOff>
      <xdr:row>4</xdr:row>
      <xdr:rowOff>6568</xdr:rowOff>
    </xdr:from>
    <xdr:to>
      <xdr:col>1</xdr:col>
      <xdr:colOff>555220</xdr:colOff>
      <xdr:row>4</xdr:row>
      <xdr:rowOff>335016</xdr:rowOff>
    </xdr:to>
    <xdr:pic macro="[0]!LIFAFA3">
      <xdr:nvPicPr>
        <xdr:cNvPr id="5" name="Graphic 4" descr="Document with solid fill">
          <a:extLst>
            <a:ext uri="{FF2B5EF4-FFF2-40B4-BE49-F238E27FC236}">
              <a16:creationId xmlns:a16="http://schemas.microsoft.com/office/drawing/2014/main" id="{6B5FE963-D414-4F5E-BAC4-485E7BEC7A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653576" y="1174416"/>
          <a:ext cx="328448" cy="328448"/>
        </a:xfrm>
        <a:prstGeom prst="rect">
          <a:avLst/>
        </a:prstGeom>
      </xdr:spPr>
    </xdr:pic>
    <xdr:clientData/>
  </xdr:twoCellAnchor>
  <xdr:twoCellAnchor editAs="oneCell">
    <xdr:from>
      <xdr:col>1</xdr:col>
      <xdr:colOff>225058</xdr:colOff>
      <xdr:row>5</xdr:row>
      <xdr:rowOff>39412</xdr:rowOff>
    </xdr:from>
    <xdr:to>
      <xdr:col>1</xdr:col>
      <xdr:colOff>553506</xdr:colOff>
      <xdr:row>5</xdr:row>
      <xdr:rowOff>367860</xdr:rowOff>
    </xdr:to>
    <xdr:pic macro="[0]!LIFAFA4_CLASS11_PrintPreview">
      <xdr:nvPicPr>
        <xdr:cNvPr id="6" name="Graphic 5" descr="Document with solid fill">
          <a:extLst>
            <a:ext uri="{FF2B5EF4-FFF2-40B4-BE49-F238E27FC236}">
              <a16:creationId xmlns:a16="http://schemas.microsoft.com/office/drawing/2014/main" id="{9F179996-0E7C-4D81-88FD-DED983C44F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651862" y="1571695"/>
          <a:ext cx="328448" cy="328448"/>
        </a:xfrm>
        <a:prstGeom prst="rect">
          <a:avLst/>
        </a:prstGeom>
      </xdr:spPr>
    </xdr:pic>
    <xdr:clientData/>
  </xdr:twoCellAnchor>
  <xdr:twoCellAnchor editAs="oneCell">
    <xdr:from>
      <xdr:col>1</xdr:col>
      <xdr:colOff>223344</xdr:colOff>
      <xdr:row>6</xdr:row>
      <xdr:rowOff>32844</xdr:rowOff>
    </xdr:from>
    <xdr:to>
      <xdr:col>1</xdr:col>
      <xdr:colOff>551792</xdr:colOff>
      <xdr:row>6</xdr:row>
      <xdr:rowOff>361292</xdr:rowOff>
    </xdr:to>
    <xdr:pic macro="[0]!LIFAFA5">
      <xdr:nvPicPr>
        <xdr:cNvPr id="7" name="Graphic 6" descr="Document with solid fill">
          <a:extLst>
            <a:ext uri="{FF2B5EF4-FFF2-40B4-BE49-F238E27FC236}">
              <a16:creationId xmlns:a16="http://schemas.microsoft.com/office/drawing/2014/main" id="{F7552955-59EF-4AA0-A2E7-9615FC749B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653861" y="1773620"/>
          <a:ext cx="328448" cy="328448"/>
        </a:xfrm>
        <a:prstGeom prst="rect">
          <a:avLst/>
        </a:prstGeom>
      </xdr:spPr>
    </xdr:pic>
    <xdr:clientData/>
  </xdr:twoCellAnchor>
  <xdr:twoCellAnchor editAs="oneCell">
    <xdr:from>
      <xdr:col>1</xdr:col>
      <xdr:colOff>229913</xdr:colOff>
      <xdr:row>7</xdr:row>
      <xdr:rowOff>29416</xdr:rowOff>
    </xdr:from>
    <xdr:to>
      <xdr:col>1</xdr:col>
      <xdr:colOff>558361</xdr:colOff>
      <xdr:row>7</xdr:row>
      <xdr:rowOff>357864</xdr:rowOff>
    </xdr:to>
    <xdr:pic macro="[0]!CLASS1_5">
      <xdr:nvPicPr>
        <xdr:cNvPr id="8" name="Graphic 7" descr="Document with solid fill">
          <a:extLst>
            <a:ext uri="{FF2B5EF4-FFF2-40B4-BE49-F238E27FC236}">
              <a16:creationId xmlns:a16="http://schemas.microsoft.com/office/drawing/2014/main" id="{C8ADD9BC-B485-4E62-A0D0-5C11D28C69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656717" y="2290568"/>
          <a:ext cx="328448" cy="328448"/>
        </a:xfrm>
        <a:prstGeom prst="rect">
          <a:avLst/>
        </a:prstGeom>
      </xdr:spPr>
    </xdr:pic>
    <xdr:clientData/>
  </xdr:twoCellAnchor>
  <xdr:twoCellAnchor editAs="oneCell">
    <xdr:from>
      <xdr:col>1</xdr:col>
      <xdr:colOff>225058</xdr:colOff>
      <xdr:row>8</xdr:row>
      <xdr:rowOff>19706</xdr:rowOff>
    </xdr:from>
    <xdr:to>
      <xdr:col>1</xdr:col>
      <xdr:colOff>553506</xdr:colOff>
      <xdr:row>8</xdr:row>
      <xdr:rowOff>348154</xdr:rowOff>
    </xdr:to>
    <xdr:pic macro="[0]!LIFAFA_CLASS10_PrintPreview">
      <xdr:nvPicPr>
        <xdr:cNvPr id="9" name="Graphic 8" descr="Document with solid fill">
          <a:extLst>
            <a:ext uri="{FF2B5EF4-FFF2-40B4-BE49-F238E27FC236}">
              <a16:creationId xmlns:a16="http://schemas.microsoft.com/office/drawing/2014/main" id="{56BAC4A3-8497-4F32-9B54-0D50B11DBC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651862" y="2645293"/>
          <a:ext cx="328448" cy="328448"/>
        </a:xfrm>
        <a:prstGeom prst="rect">
          <a:avLst/>
        </a:prstGeom>
      </xdr:spPr>
    </xdr:pic>
    <xdr:clientData/>
  </xdr:twoCellAnchor>
  <xdr:twoCellAnchor editAs="oneCell">
    <xdr:from>
      <xdr:col>1</xdr:col>
      <xdr:colOff>223344</xdr:colOff>
      <xdr:row>9</xdr:row>
      <xdr:rowOff>32844</xdr:rowOff>
    </xdr:from>
    <xdr:to>
      <xdr:col>1</xdr:col>
      <xdr:colOff>551792</xdr:colOff>
      <xdr:row>9</xdr:row>
      <xdr:rowOff>361292</xdr:rowOff>
    </xdr:to>
    <xdr:pic macro="[0]!LIFAFA_CLASS12_PrintPreview">
      <xdr:nvPicPr>
        <xdr:cNvPr id="10" name="Graphic 9" descr="Document with solid fill">
          <a:extLst>
            <a:ext uri="{FF2B5EF4-FFF2-40B4-BE49-F238E27FC236}">
              <a16:creationId xmlns:a16="http://schemas.microsoft.com/office/drawing/2014/main" id="{B4CB9E17-EAEC-49A4-A84C-97C0E3D482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653861" y="2916620"/>
          <a:ext cx="328448" cy="328448"/>
        </a:xfrm>
        <a:prstGeom prst="rect">
          <a:avLst/>
        </a:prstGeom>
      </xdr:spPr>
    </xdr:pic>
    <xdr:clientData/>
  </xdr:twoCellAnchor>
  <xdr:twoCellAnchor editAs="oneCell">
    <xdr:from>
      <xdr:col>1</xdr:col>
      <xdr:colOff>205064</xdr:colOff>
      <xdr:row>11</xdr:row>
      <xdr:rowOff>39413</xdr:rowOff>
    </xdr:from>
    <xdr:to>
      <xdr:col>1</xdr:col>
      <xdr:colOff>533512</xdr:colOff>
      <xdr:row>11</xdr:row>
      <xdr:rowOff>367861</xdr:rowOff>
    </xdr:to>
    <xdr:pic macro="[0]!SUBJECTWISE_9_PrintPreview">
      <xdr:nvPicPr>
        <xdr:cNvPr id="11" name="Graphic 10" descr="Document with solid fill">
          <a:extLst>
            <a:ext uri="{FF2B5EF4-FFF2-40B4-BE49-F238E27FC236}">
              <a16:creationId xmlns:a16="http://schemas.microsoft.com/office/drawing/2014/main" id="{16A5B586-C285-48A1-AA1A-CB0FD757E4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631868" y="3758304"/>
          <a:ext cx="328448" cy="328448"/>
        </a:xfrm>
        <a:prstGeom prst="rect">
          <a:avLst/>
        </a:prstGeom>
      </xdr:spPr>
    </xdr:pic>
    <xdr:clientData/>
  </xdr:twoCellAnchor>
  <xdr:twoCellAnchor editAs="oneCell">
    <xdr:from>
      <xdr:col>1</xdr:col>
      <xdr:colOff>210206</xdr:colOff>
      <xdr:row>12</xdr:row>
      <xdr:rowOff>26275</xdr:rowOff>
    </xdr:from>
    <xdr:to>
      <xdr:col>1</xdr:col>
      <xdr:colOff>538654</xdr:colOff>
      <xdr:row>12</xdr:row>
      <xdr:rowOff>354723</xdr:rowOff>
    </xdr:to>
    <xdr:pic macro="[0]!SUBJECTWISE_10_PrintPreview">
      <xdr:nvPicPr>
        <xdr:cNvPr id="12" name="Graphic 11" descr="Document with solid fill">
          <a:extLst>
            <a:ext uri="{FF2B5EF4-FFF2-40B4-BE49-F238E27FC236}">
              <a16:creationId xmlns:a16="http://schemas.microsoft.com/office/drawing/2014/main" id="{1F5356F8-CDE3-493B-AD83-06AFE0082C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637010" y="4109601"/>
          <a:ext cx="328448" cy="328448"/>
        </a:xfrm>
        <a:prstGeom prst="rect">
          <a:avLst/>
        </a:prstGeom>
      </xdr:spPr>
    </xdr:pic>
    <xdr:clientData/>
  </xdr:twoCellAnchor>
  <xdr:twoCellAnchor editAs="oneCell">
    <xdr:from>
      <xdr:col>1</xdr:col>
      <xdr:colOff>205351</xdr:colOff>
      <xdr:row>13</xdr:row>
      <xdr:rowOff>13423</xdr:rowOff>
    </xdr:from>
    <xdr:to>
      <xdr:col>1</xdr:col>
      <xdr:colOff>533799</xdr:colOff>
      <xdr:row>13</xdr:row>
      <xdr:rowOff>341871</xdr:rowOff>
    </xdr:to>
    <xdr:pic macro="[0]!SUBJECTWISE_11_PrintPreview">
      <xdr:nvPicPr>
        <xdr:cNvPr id="13" name="Graphic 12" descr="Document with solid fill">
          <a:extLst>
            <a:ext uri="{FF2B5EF4-FFF2-40B4-BE49-F238E27FC236}">
              <a16:creationId xmlns:a16="http://schemas.microsoft.com/office/drawing/2014/main" id="{E82EEC42-4095-4301-B80B-297B55DE4D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632155" y="4461184"/>
          <a:ext cx="328448" cy="328448"/>
        </a:xfrm>
        <a:prstGeom prst="rect">
          <a:avLst/>
        </a:prstGeom>
      </xdr:spPr>
    </xdr:pic>
    <xdr:clientData/>
  </xdr:twoCellAnchor>
  <xdr:twoCellAnchor editAs="oneCell">
    <xdr:from>
      <xdr:col>1</xdr:col>
      <xdr:colOff>207064</xdr:colOff>
      <xdr:row>14</xdr:row>
      <xdr:rowOff>31130</xdr:rowOff>
    </xdr:from>
    <xdr:to>
      <xdr:col>1</xdr:col>
      <xdr:colOff>535512</xdr:colOff>
      <xdr:row>14</xdr:row>
      <xdr:rowOff>359578</xdr:rowOff>
    </xdr:to>
    <xdr:pic macro="[0]!SUBJECTWISE_12_PrintPreview">
      <xdr:nvPicPr>
        <xdr:cNvPr id="14" name="Graphic 13" descr="Document with solid fill">
          <a:extLst>
            <a:ext uri="{FF2B5EF4-FFF2-40B4-BE49-F238E27FC236}">
              <a16:creationId xmlns:a16="http://schemas.microsoft.com/office/drawing/2014/main" id="{1C03255E-FE4C-4A52-B7D1-0DEB8957E9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633868" y="4843326"/>
          <a:ext cx="328448" cy="328448"/>
        </a:xfrm>
        <a:prstGeom prst="rect">
          <a:avLst/>
        </a:prstGeom>
      </xdr:spPr>
    </xdr:pic>
    <xdr:clientData/>
  </xdr:twoCellAnchor>
  <xdr:twoCellAnchor editAs="oneCell">
    <xdr:from>
      <xdr:col>1</xdr:col>
      <xdr:colOff>213347</xdr:colOff>
      <xdr:row>10</xdr:row>
      <xdr:rowOff>26275</xdr:rowOff>
    </xdr:from>
    <xdr:to>
      <xdr:col>1</xdr:col>
      <xdr:colOff>541795</xdr:colOff>
      <xdr:row>10</xdr:row>
      <xdr:rowOff>354723</xdr:rowOff>
    </xdr:to>
    <xdr:pic macro="[0]!SUBJECTWISE6_8">
      <xdr:nvPicPr>
        <xdr:cNvPr id="17" name="Graphic 16" descr="Document with solid fill">
          <a:extLst>
            <a:ext uri="{FF2B5EF4-FFF2-40B4-BE49-F238E27FC236}">
              <a16:creationId xmlns:a16="http://schemas.microsoft.com/office/drawing/2014/main" id="{A623AC50-FC71-4304-8053-6BDCF58F7A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640151" y="3380732"/>
          <a:ext cx="328448" cy="328448"/>
        </a:xfrm>
        <a:prstGeom prst="rect">
          <a:avLst/>
        </a:prstGeom>
      </xdr:spPr>
    </xdr:pic>
    <xdr:clientData/>
  </xdr:twoCellAnchor>
  <xdr:twoCellAnchor>
    <xdr:from>
      <xdr:col>3</xdr:col>
      <xdr:colOff>115957</xdr:colOff>
      <xdr:row>2</xdr:row>
      <xdr:rowOff>265044</xdr:rowOff>
    </xdr:from>
    <xdr:to>
      <xdr:col>6</xdr:col>
      <xdr:colOff>472109</xdr:colOff>
      <xdr:row>8</xdr:row>
      <xdr:rowOff>140804</xdr:rowOff>
    </xdr:to>
    <xdr:sp macro="" textlink="">
      <xdr:nvSpPr>
        <xdr:cNvPr id="19" name="Octagon 18">
          <a:extLst>
            <a:ext uri="{FF2B5EF4-FFF2-40B4-BE49-F238E27FC236}">
              <a16:creationId xmlns:a16="http://schemas.microsoft.com/office/drawing/2014/main" id="{440F8A13-8B7A-4665-8965-537088221883}"/>
            </a:ext>
          </a:extLst>
        </xdr:cNvPr>
        <xdr:cNvSpPr/>
      </xdr:nvSpPr>
      <xdr:spPr>
        <a:xfrm>
          <a:off x="4729370" y="1060174"/>
          <a:ext cx="2194891" cy="2261152"/>
        </a:xfrm>
        <a:prstGeom prst="octagon">
          <a:avLst/>
        </a:prstGeom>
        <a:blipFill dpi="0" rotWithShape="1"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IN" sz="1100"/>
        </a:p>
      </xdr:txBody>
    </xdr:sp>
    <xdr:clientData/>
  </xdr:twoCellAnchor>
  <xdr:twoCellAnchor>
    <xdr:from>
      <xdr:col>7</xdr:col>
      <xdr:colOff>400050</xdr:colOff>
      <xdr:row>6</xdr:row>
      <xdr:rowOff>19051</xdr:rowOff>
    </xdr:from>
    <xdr:to>
      <xdr:col>12</xdr:col>
      <xdr:colOff>382242</xdr:colOff>
      <xdr:row>11</xdr:row>
      <xdr:rowOff>327214</xdr:rowOff>
    </xdr:to>
    <xdr:sp macro="" textlink="">
      <xdr:nvSpPr>
        <xdr:cNvPr id="20" name="Wave 19">
          <a:extLst>
            <a:ext uri="{FF2B5EF4-FFF2-40B4-BE49-F238E27FC236}">
              <a16:creationId xmlns:a16="http://schemas.microsoft.com/office/drawing/2014/main" id="{64FA6C3D-33BC-4E28-AFBA-42161E8975AA}"/>
            </a:ext>
          </a:extLst>
        </xdr:cNvPr>
        <xdr:cNvSpPr/>
      </xdr:nvSpPr>
      <xdr:spPr>
        <a:xfrm>
          <a:off x="7683874" y="2349875"/>
          <a:ext cx="3007780" cy="2325221"/>
        </a:xfrm>
        <a:prstGeom prst="wave">
          <a:avLst>
            <a:gd name="adj1" fmla="val 12500"/>
            <a:gd name="adj2" fmla="val 785"/>
          </a:avLst>
        </a:prstGeom>
        <a:blipFill dpi="0" rotWithShape="1">
          <a:blip xmlns:r="http://schemas.openxmlformats.org/officeDocument/2006/relationships" r:embed="rId4" cstate="print">
            <a:extLst>
              <a:ext uri="{BEBA8EAE-BF5A-486C-A8C5-ECC9F3942E4B}">
                <a14:imgProps xmlns:a14="http://schemas.microsoft.com/office/drawing/2010/main">
                  <a14:imgLayer r:embed="rId5">
                    <a14:imgEffect>
                      <a14:sharpenSoften amount="-18000"/>
                    </a14:imgEffect>
                    <a14:imgEffect>
                      <a14:saturation sat="101000"/>
                    </a14:imgEffect>
                    <a14:imgEffect>
                      <a14:brightnessContrast bright="24000" contrast="6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 l="-3868" t="-22430" b="-6020"/>
          </a:stretch>
        </a:blip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IN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190499</xdr:colOff>
      <xdr:row>5</xdr:row>
      <xdr:rowOff>89646</xdr:rowOff>
    </xdr:from>
    <xdr:to>
      <xdr:col>21</xdr:col>
      <xdr:colOff>201706</xdr:colOff>
      <xdr:row>13</xdr:row>
      <xdr:rowOff>11204</xdr:rowOff>
    </xdr:to>
    <xdr:pic>
      <xdr:nvPicPr>
        <xdr:cNvPr id="3" name="Graphic 2" descr="Monitor with solid fill">
          <a:extLst>
            <a:ext uri="{FF2B5EF4-FFF2-40B4-BE49-F238E27FC236}">
              <a16:creationId xmlns:a16="http://schemas.microsoft.com/office/drawing/2014/main" id="{EC26CE14-2E7F-43A7-89EC-2D172290F1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6046823" y="1355911"/>
          <a:ext cx="2431677" cy="1714499"/>
        </a:xfrm>
        <a:prstGeom prst="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</xdr:spPr>
    </xdr:pic>
    <xdr:clientData/>
  </xdr:twoCellAnchor>
  <xdr:twoCellAnchor editAs="oneCell">
    <xdr:from>
      <xdr:col>17</xdr:col>
      <xdr:colOff>525076</xdr:colOff>
      <xdr:row>7</xdr:row>
      <xdr:rowOff>38741</xdr:rowOff>
    </xdr:from>
    <xdr:to>
      <xdr:col>20</xdr:col>
      <xdr:colOff>399891</xdr:colOff>
      <xdr:row>10</xdr:row>
      <xdr:rowOff>115902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1686063A-A122-43CF-B59B-D39E35D9BDC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580" t="32770" r="1532" b="7415"/>
        <a:stretch/>
      </xdr:blipFill>
      <xdr:spPr>
        <a:xfrm>
          <a:off x="16381400" y="1753241"/>
          <a:ext cx="1690167" cy="749514"/>
        </a:xfrm>
        <a:prstGeom prst="rect">
          <a:avLst/>
        </a:prstGeom>
      </xdr:spPr>
    </xdr:pic>
    <xdr:clientData/>
  </xdr:twoCellAnchor>
  <xdr:twoCellAnchor>
    <xdr:from>
      <xdr:col>17</xdr:col>
      <xdr:colOff>519392</xdr:colOff>
      <xdr:row>13</xdr:row>
      <xdr:rowOff>112059</xdr:rowOff>
    </xdr:from>
    <xdr:to>
      <xdr:col>20</xdr:col>
      <xdr:colOff>490818</xdr:colOff>
      <xdr:row>21</xdr:row>
      <xdr:rowOff>112059</xdr:rowOff>
    </xdr:to>
    <xdr:sp macro="" textlink="">
      <xdr:nvSpPr>
        <xdr:cNvPr id="6" name="Rectangle: Beveled 5">
          <a:extLst>
            <a:ext uri="{FF2B5EF4-FFF2-40B4-BE49-F238E27FC236}">
              <a16:creationId xmlns:a16="http://schemas.microsoft.com/office/drawing/2014/main" id="{4BAB0F39-4EDD-4533-B386-1E9E8AFFFCC8}"/>
            </a:ext>
          </a:extLst>
        </xdr:cNvPr>
        <xdr:cNvSpPr/>
      </xdr:nvSpPr>
      <xdr:spPr>
        <a:xfrm>
          <a:off x="16375716" y="3171265"/>
          <a:ext cx="1786778" cy="1792941"/>
        </a:xfrm>
        <a:prstGeom prst="bevel">
          <a:avLst/>
        </a:prstGeom>
        <a:blipFill dpi="0"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hi-IN" sz="1100" b="1" i="1">
              <a:solidFill>
                <a:srgbClr val="FF0000"/>
              </a:solidFill>
              <a:latin typeface="Algerian" panose="04020705040A02060702" pitchFamily="82" charset="0"/>
            </a:rPr>
            <a:t>शिवराज मेघवंशी </a:t>
          </a:r>
          <a:endParaRPr lang="en-IN" sz="1100" b="1" i="1">
            <a:solidFill>
              <a:srgbClr val="FF0000"/>
            </a:solidFill>
            <a:latin typeface="Algerian" panose="04020705040A02060702" pitchFamily="82" charset="0"/>
          </a:endParaRPr>
        </a:p>
      </xdr:txBody>
    </xdr:sp>
    <xdr:clientData/>
  </xdr:twoCellAnchor>
  <xdr:twoCellAnchor>
    <xdr:from>
      <xdr:col>17</xdr:col>
      <xdr:colOff>349872</xdr:colOff>
      <xdr:row>0</xdr:row>
      <xdr:rowOff>0</xdr:rowOff>
    </xdr:from>
    <xdr:to>
      <xdr:col>22</xdr:col>
      <xdr:colOff>206687</xdr:colOff>
      <xdr:row>1</xdr:row>
      <xdr:rowOff>145676</xdr:rowOff>
    </xdr:to>
    <xdr:sp macro="[0]!DATAELET" textlink="">
      <xdr:nvSpPr>
        <xdr:cNvPr id="2" name="Arrow: Left 1">
          <a:extLst>
            <a:ext uri="{FF2B5EF4-FFF2-40B4-BE49-F238E27FC236}">
              <a16:creationId xmlns:a16="http://schemas.microsoft.com/office/drawing/2014/main" id="{04B646BA-19DB-41B1-B611-631B2DF32D34}"/>
            </a:ext>
          </a:extLst>
        </xdr:cNvPr>
        <xdr:cNvSpPr>
          <a:spLocks noChangeAspect="1"/>
        </xdr:cNvSpPr>
      </xdr:nvSpPr>
      <xdr:spPr>
        <a:xfrm>
          <a:off x="16140205" y="0"/>
          <a:ext cx="2925982" cy="685426"/>
        </a:xfrm>
        <a:prstGeom prst="leftArrow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hi-IN" sz="1100" b="1">
              <a:solidFill>
                <a:srgbClr val="002060"/>
              </a:solidFill>
            </a:rPr>
            <a:t>शीट मे से कक्षावार ओर</a:t>
          </a:r>
          <a:r>
            <a:rPr lang="hi-IN" sz="1100" b="1" baseline="0">
              <a:solidFill>
                <a:srgbClr val="002060"/>
              </a:solidFill>
            </a:rPr>
            <a:t> </a:t>
          </a:r>
          <a:r>
            <a:rPr lang="hi-IN" sz="1100" b="1">
              <a:solidFill>
                <a:srgbClr val="002060"/>
              </a:solidFill>
            </a:rPr>
            <a:t>विषयवार ग्रेड हटाए   </a:t>
          </a:r>
          <a:endParaRPr lang="en-IN" sz="1100" b="1">
            <a:solidFill>
              <a:srgbClr val="00206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96652</xdr:colOff>
      <xdr:row>0</xdr:row>
      <xdr:rowOff>287150</xdr:rowOff>
    </xdr:from>
    <xdr:to>
      <xdr:col>33</xdr:col>
      <xdr:colOff>29416</xdr:colOff>
      <xdr:row>9</xdr:row>
      <xdr:rowOff>152680</xdr:rowOff>
    </xdr:to>
    <xdr:sp macro="" textlink="">
      <xdr:nvSpPr>
        <xdr:cNvPr id="2" name="Oval 1">
          <a:extLst>
            <a:ext uri="{FF2B5EF4-FFF2-40B4-BE49-F238E27FC236}">
              <a16:creationId xmlns:a16="http://schemas.microsoft.com/office/drawing/2014/main" id="{D864E38B-AB38-41FB-B6E0-F2097A84AF10}"/>
            </a:ext>
          </a:extLst>
        </xdr:cNvPr>
        <xdr:cNvSpPr/>
      </xdr:nvSpPr>
      <xdr:spPr>
        <a:xfrm>
          <a:off x="18146527" y="287150"/>
          <a:ext cx="1790139" cy="1937218"/>
        </a:xfrm>
        <a:prstGeom prst="ellipse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IN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Glossy">
      <a:fillStyleLst>
        <a:solidFill>
          <a:schemeClr val="phClr"/>
        </a:solidFill>
        <a:gradFill rotWithShape="1">
          <a:gsLst>
            <a:gs pos="0">
              <a:schemeClr val="phClr">
                <a:tint val="62000"/>
                <a:satMod val="180000"/>
              </a:schemeClr>
            </a:gs>
            <a:gs pos="65000">
              <a:schemeClr val="phClr">
                <a:tint val="32000"/>
                <a:satMod val="250000"/>
              </a:schemeClr>
            </a:gs>
            <a:gs pos="100000">
              <a:schemeClr val="phClr">
                <a:tint val="23000"/>
                <a:satMod val="300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shade val="15000"/>
                <a:satMod val="180000"/>
              </a:schemeClr>
            </a:gs>
            <a:gs pos="50000">
              <a:schemeClr val="phClr">
                <a:shade val="45000"/>
                <a:satMod val="170000"/>
              </a:schemeClr>
            </a:gs>
            <a:gs pos="70000">
              <a:schemeClr val="phClr">
                <a:tint val="99000"/>
                <a:shade val="65000"/>
                <a:satMod val="155000"/>
              </a:schemeClr>
            </a:gs>
            <a:gs pos="100000">
              <a:schemeClr val="phClr">
                <a:tint val="95500"/>
                <a:shade val="100000"/>
                <a:satMod val="15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>
              <a:tint val="95000"/>
              <a:shade val="95000"/>
              <a:satMod val="120000"/>
            </a:schemeClr>
          </a:solidFill>
          <a:prstDash val="solid"/>
        </a:ln>
        <a:ln w="55000" cap="flat" cmpd="thickThin" algn="ctr">
          <a:solidFill>
            <a:schemeClr val="phClr">
              <a:tint val="90000"/>
              <a:satMod val="130000"/>
            </a:schemeClr>
          </a:solidFill>
          <a:prstDash val="solid"/>
        </a:ln>
        <a:ln w="508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63500" dist="38100" dir="5400000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6360000"/>
            </a:lightRig>
          </a:scene3d>
          <a:sp3d contourW="1000" prstMaterial="flat">
            <a:bevelT w="95250" h="101600"/>
            <a:contourClr>
              <a:schemeClr val="phClr">
                <a:satMod val="30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hyperlink" Target="mailto:manjumahawar1971@gmail.com" TargetMode="External"/><Relationship Id="rId1" Type="http://schemas.openxmlformats.org/officeDocument/2006/relationships/hyperlink" Target="mailto:gsssmorajhadi15@gmail.com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27AC4-AB9C-4F8A-8D69-6389FBBAF750}">
  <sheetPr codeName="Sheet2"/>
  <dimension ref="A1:AD1060"/>
  <sheetViews>
    <sheetView zoomScale="85" zoomScaleNormal="85" workbookViewId="0"/>
  </sheetViews>
  <sheetFormatPr defaultRowHeight="15" x14ac:dyDescent="0.25"/>
  <cols>
    <col min="1" max="1" width="5.42578125" bestFit="1" customWidth="1"/>
    <col min="2" max="2" width="7.5703125" bestFit="1" customWidth="1"/>
    <col min="3" max="3" width="6" bestFit="1" customWidth="1"/>
    <col min="4" max="4" width="8.42578125" bestFit="1" customWidth="1"/>
    <col min="5" max="5" width="28.28515625" bestFit="1" customWidth="1"/>
    <col min="6" max="6" width="10.5703125" bestFit="1" customWidth="1"/>
    <col min="7" max="7" width="28.28515625" bestFit="1" customWidth="1"/>
    <col min="8" max="8" width="23.28515625" bestFit="1" customWidth="1"/>
    <col min="9" max="9" width="7.7109375" bestFit="1" customWidth="1"/>
    <col min="10" max="10" width="8.42578125" bestFit="1" customWidth="1"/>
    <col min="11" max="11" width="11.42578125" bestFit="1" customWidth="1"/>
    <col min="12" max="12" width="16.5703125" bestFit="1" customWidth="1"/>
    <col min="13" max="13" width="24.7109375" bestFit="1" customWidth="1"/>
    <col min="14" max="14" width="24.140625" bestFit="1" customWidth="1"/>
    <col min="15" max="15" width="8.85546875" bestFit="1" customWidth="1"/>
    <col min="16" max="16" width="8.28515625" bestFit="1" customWidth="1"/>
    <col min="17" max="17" width="19.28515625" bestFit="1" customWidth="1"/>
    <col min="18" max="18" width="36.5703125" bestFit="1" customWidth="1"/>
    <col min="19" max="19" width="17.85546875" bestFit="1" customWidth="1"/>
    <col min="20" max="20" width="20.28515625" bestFit="1" customWidth="1"/>
    <col min="21" max="21" width="16.5703125" bestFit="1" customWidth="1"/>
    <col min="22" max="23" width="36.5703125" bestFit="1" customWidth="1"/>
    <col min="24" max="24" width="22.5703125" bestFit="1" customWidth="1"/>
    <col min="25" max="25" width="12.42578125" bestFit="1" customWidth="1"/>
    <col min="26" max="26" width="10" bestFit="1" customWidth="1"/>
    <col min="27" max="27" width="14.7109375" bestFit="1" customWidth="1"/>
    <col min="28" max="28" width="23.5703125" bestFit="1" customWidth="1"/>
    <col min="29" max="29" width="20" bestFit="1" customWidth="1"/>
    <col min="30" max="30" width="20.140625" bestFit="1" customWidth="1"/>
  </cols>
  <sheetData>
    <row r="1" spans="1:30" ht="30" x14ac:dyDescent="0.2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  <c r="T1" s="1" t="s">
        <v>38</v>
      </c>
      <c r="U1" s="1" t="s">
        <v>39</v>
      </c>
      <c r="V1" s="1" t="s">
        <v>40</v>
      </c>
      <c r="W1" s="1" t="s">
        <v>41</v>
      </c>
      <c r="X1" s="1" t="s">
        <v>42</v>
      </c>
      <c r="Y1" s="1" t="s">
        <v>43</v>
      </c>
      <c r="Z1" s="1" t="s">
        <v>44</v>
      </c>
      <c r="AA1" s="1" t="s">
        <v>45</v>
      </c>
      <c r="AB1" s="1" t="s">
        <v>46</v>
      </c>
      <c r="AC1" s="1" t="s">
        <v>47</v>
      </c>
      <c r="AD1" s="1" t="s">
        <v>48</v>
      </c>
    </row>
    <row r="2" spans="1:30" ht="30" x14ac:dyDescent="0.25">
      <c r="A2" s="2">
        <v>1</v>
      </c>
      <c r="B2" s="2" t="s">
        <v>49</v>
      </c>
      <c r="C2" s="2">
        <v>907</v>
      </c>
      <c r="D2" s="3">
        <v>45498</v>
      </c>
      <c r="E2" s="2" t="s">
        <v>1455</v>
      </c>
      <c r="F2" s="2"/>
      <c r="G2" s="2" t="s">
        <v>50</v>
      </c>
      <c r="H2" s="2" t="s">
        <v>1456</v>
      </c>
      <c r="I2" s="2" t="s">
        <v>51</v>
      </c>
      <c r="J2" s="3">
        <v>43574</v>
      </c>
      <c r="K2" s="2">
        <v>101</v>
      </c>
      <c r="L2" s="2"/>
      <c r="M2" s="2">
        <v>211</v>
      </c>
      <c r="N2" s="2">
        <v>175</v>
      </c>
      <c r="O2" s="2" t="s">
        <v>6</v>
      </c>
      <c r="P2" s="2" t="s">
        <v>52</v>
      </c>
      <c r="Q2" s="2"/>
      <c r="R2" s="2" t="s">
        <v>53</v>
      </c>
      <c r="S2" s="2">
        <v>8210302201</v>
      </c>
      <c r="T2" s="2" t="s">
        <v>1457</v>
      </c>
      <c r="U2" s="2"/>
      <c r="V2" s="2">
        <v>8529735978</v>
      </c>
      <c r="W2" s="2" t="s">
        <v>54</v>
      </c>
      <c r="X2" s="2">
        <v>0</v>
      </c>
      <c r="Y2" s="2" t="s">
        <v>55</v>
      </c>
      <c r="Z2" s="2" t="s">
        <v>55</v>
      </c>
      <c r="AA2" s="2" t="s">
        <v>56</v>
      </c>
      <c r="AB2" s="2">
        <v>6</v>
      </c>
      <c r="AC2" s="2" t="s">
        <v>57</v>
      </c>
      <c r="AD2" s="2">
        <v>0</v>
      </c>
    </row>
    <row r="3" spans="1:30" ht="30" x14ac:dyDescent="0.25">
      <c r="A3" s="2">
        <v>1</v>
      </c>
      <c r="B3" s="2" t="s">
        <v>49</v>
      </c>
      <c r="C3" s="2">
        <v>920</v>
      </c>
      <c r="D3" s="3">
        <v>45524</v>
      </c>
      <c r="E3" s="2" t="s">
        <v>1500</v>
      </c>
      <c r="F3" s="2"/>
      <c r="G3" s="2" t="s">
        <v>58</v>
      </c>
      <c r="H3" s="2" t="s">
        <v>1501</v>
      </c>
      <c r="I3" s="2" t="s">
        <v>51</v>
      </c>
      <c r="J3" s="3">
        <v>43545</v>
      </c>
      <c r="K3" s="2">
        <v>103</v>
      </c>
      <c r="L3" s="2"/>
      <c r="M3" s="2">
        <v>211</v>
      </c>
      <c r="N3" s="2">
        <v>150</v>
      </c>
      <c r="O3" s="2" t="s">
        <v>4</v>
      </c>
      <c r="P3" s="2" t="s">
        <v>52</v>
      </c>
      <c r="Q3" s="2"/>
      <c r="R3" s="2" t="s">
        <v>53</v>
      </c>
      <c r="S3" s="2">
        <v>8210302201</v>
      </c>
      <c r="T3" s="2" t="s">
        <v>1502</v>
      </c>
      <c r="U3" s="2"/>
      <c r="V3" s="2">
        <v>9929812329</v>
      </c>
      <c r="W3" s="2" t="s">
        <v>59</v>
      </c>
      <c r="X3" s="2">
        <v>60000</v>
      </c>
      <c r="Y3" s="2" t="s">
        <v>55</v>
      </c>
      <c r="Z3" s="2" t="s">
        <v>55</v>
      </c>
      <c r="AA3" s="2" t="s">
        <v>56</v>
      </c>
      <c r="AB3" s="2">
        <v>6</v>
      </c>
      <c r="AC3" s="2" t="s">
        <v>57</v>
      </c>
      <c r="AD3" s="2">
        <v>0</v>
      </c>
    </row>
    <row r="4" spans="1:30" ht="30" x14ac:dyDescent="0.25">
      <c r="A4" s="2">
        <v>1</v>
      </c>
      <c r="B4" s="2" t="s">
        <v>49</v>
      </c>
      <c r="C4" s="2">
        <v>906</v>
      </c>
      <c r="D4" s="3">
        <v>45498</v>
      </c>
      <c r="E4" s="2" t="s">
        <v>1458</v>
      </c>
      <c r="F4" s="2"/>
      <c r="G4" s="2" t="s">
        <v>1459</v>
      </c>
      <c r="H4" s="2" t="s">
        <v>1460</v>
      </c>
      <c r="I4" s="2" t="s">
        <v>51</v>
      </c>
      <c r="J4" s="3">
        <v>43507</v>
      </c>
      <c r="K4" s="2">
        <v>104</v>
      </c>
      <c r="L4" s="2"/>
      <c r="M4" s="2">
        <v>211</v>
      </c>
      <c r="N4" s="2">
        <v>178</v>
      </c>
      <c r="O4" s="2" t="s">
        <v>6</v>
      </c>
      <c r="P4" s="2" t="s">
        <v>52</v>
      </c>
      <c r="Q4" s="2"/>
      <c r="R4" s="2" t="s">
        <v>53</v>
      </c>
      <c r="S4" s="2">
        <v>8210302201</v>
      </c>
      <c r="T4" s="2" t="s">
        <v>1461</v>
      </c>
      <c r="U4" s="2"/>
      <c r="V4" s="2">
        <v>9680679728</v>
      </c>
      <c r="W4" s="2" t="s">
        <v>54</v>
      </c>
      <c r="X4" s="2">
        <v>0</v>
      </c>
      <c r="Y4" s="2" t="s">
        <v>55</v>
      </c>
      <c r="Z4" s="2" t="s">
        <v>55</v>
      </c>
      <c r="AA4" s="2" t="s">
        <v>56</v>
      </c>
      <c r="AB4" s="2">
        <v>6</v>
      </c>
      <c r="AC4" s="2" t="s">
        <v>57</v>
      </c>
      <c r="AD4" s="2">
        <v>0</v>
      </c>
    </row>
    <row r="5" spans="1:30" ht="30" x14ac:dyDescent="0.25">
      <c r="A5" s="2">
        <v>1</v>
      </c>
      <c r="B5" s="2" t="s">
        <v>49</v>
      </c>
      <c r="C5" s="2">
        <v>901</v>
      </c>
      <c r="D5" s="3">
        <v>45492</v>
      </c>
      <c r="E5" s="2" t="s">
        <v>60</v>
      </c>
      <c r="F5" s="2"/>
      <c r="G5" s="2" t="s">
        <v>61</v>
      </c>
      <c r="H5" s="2" t="s">
        <v>62</v>
      </c>
      <c r="I5" s="2" t="s">
        <v>51</v>
      </c>
      <c r="J5" s="3">
        <v>43552</v>
      </c>
      <c r="K5" s="2">
        <v>105</v>
      </c>
      <c r="L5" s="2"/>
      <c r="M5" s="2">
        <v>211</v>
      </c>
      <c r="N5" s="2">
        <v>183</v>
      </c>
      <c r="O5" s="2" t="s">
        <v>6</v>
      </c>
      <c r="P5" s="2" t="s">
        <v>52</v>
      </c>
      <c r="Q5" s="2"/>
      <c r="R5" s="2" t="s">
        <v>53</v>
      </c>
      <c r="S5" s="2">
        <v>8210302201</v>
      </c>
      <c r="T5" s="2" t="s">
        <v>63</v>
      </c>
      <c r="U5" s="2"/>
      <c r="V5" s="2">
        <v>9772866674</v>
      </c>
      <c r="W5" s="2" t="s">
        <v>54</v>
      </c>
      <c r="X5" s="2">
        <v>0</v>
      </c>
      <c r="Y5" s="2" t="s">
        <v>55</v>
      </c>
      <c r="Z5" s="2" t="s">
        <v>55</v>
      </c>
      <c r="AA5" s="2" t="s">
        <v>56</v>
      </c>
      <c r="AB5" s="2">
        <v>6</v>
      </c>
      <c r="AC5" s="2" t="s">
        <v>57</v>
      </c>
      <c r="AD5" s="2">
        <v>0</v>
      </c>
    </row>
    <row r="6" spans="1:30" ht="30" x14ac:dyDescent="0.25">
      <c r="A6" s="2">
        <v>1</v>
      </c>
      <c r="B6" s="2" t="s">
        <v>49</v>
      </c>
      <c r="C6" s="2">
        <v>885</v>
      </c>
      <c r="D6" s="3">
        <v>45481</v>
      </c>
      <c r="E6" s="2" t="s">
        <v>64</v>
      </c>
      <c r="F6" s="2"/>
      <c r="G6" s="2" t="s">
        <v>65</v>
      </c>
      <c r="H6" s="2" t="s">
        <v>66</v>
      </c>
      <c r="I6" s="2" t="s">
        <v>67</v>
      </c>
      <c r="J6" s="3">
        <v>43287</v>
      </c>
      <c r="K6" s="2">
        <v>106</v>
      </c>
      <c r="L6" s="2"/>
      <c r="M6" s="2">
        <v>211</v>
      </c>
      <c r="N6" s="2">
        <v>189</v>
      </c>
      <c r="O6" s="2" t="s">
        <v>4</v>
      </c>
      <c r="P6" s="2" t="s">
        <v>52</v>
      </c>
      <c r="Q6" s="2"/>
      <c r="R6" s="2" t="s">
        <v>53</v>
      </c>
      <c r="S6" s="2">
        <v>8210302201</v>
      </c>
      <c r="T6" s="2" t="s">
        <v>68</v>
      </c>
      <c r="U6" s="2"/>
      <c r="V6" s="2">
        <v>8290504398</v>
      </c>
      <c r="W6" s="2" t="s">
        <v>54</v>
      </c>
      <c r="X6" s="2">
        <v>0</v>
      </c>
      <c r="Y6" s="2" t="s">
        <v>55</v>
      </c>
      <c r="Z6" s="2" t="s">
        <v>55</v>
      </c>
      <c r="AA6" s="2" t="s">
        <v>56</v>
      </c>
      <c r="AB6" s="2">
        <v>7</v>
      </c>
      <c r="AC6" s="2" t="s">
        <v>57</v>
      </c>
      <c r="AD6" s="2">
        <v>0</v>
      </c>
    </row>
    <row r="7" spans="1:30" ht="30" x14ac:dyDescent="0.25">
      <c r="A7" s="2">
        <v>1</v>
      </c>
      <c r="B7" s="2" t="s">
        <v>49</v>
      </c>
      <c r="C7" s="2">
        <v>914</v>
      </c>
      <c r="D7" s="3">
        <v>45504</v>
      </c>
      <c r="E7" s="2" t="s">
        <v>69</v>
      </c>
      <c r="F7" s="2"/>
      <c r="G7" s="2" t="s">
        <v>70</v>
      </c>
      <c r="H7" s="2" t="s">
        <v>71</v>
      </c>
      <c r="I7" s="2" t="s">
        <v>67</v>
      </c>
      <c r="J7" s="3">
        <v>43678</v>
      </c>
      <c r="K7" s="2">
        <v>107</v>
      </c>
      <c r="L7" s="2"/>
      <c r="M7" s="2">
        <v>211</v>
      </c>
      <c r="N7" s="2">
        <v>176</v>
      </c>
      <c r="O7" s="2" t="s">
        <v>6</v>
      </c>
      <c r="P7" s="2" t="s">
        <v>52</v>
      </c>
      <c r="Q7" s="2"/>
      <c r="R7" s="2" t="s">
        <v>53</v>
      </c>
      <c r="S7" s="2">
        <v>8210302201</v>
      </c>
      <c r="T7" s="2" t="s">
        <v>72</v>
      </c>
      <c r="U7" s="2"/>
      <c r="V7" s="2">
        <v>9929611454</v>
      </c>
      <c r="W7" s="2" t="s">
        <v>54</v>
      </c>
      <c r="X7" s="2">
        <v>0</v>
      </c>
      <c r="Y7" s="2" t="s">
        <v>55</v>
      </c>
      <c r="Z7" s="2" t="s">
        <v>55</v>
      </c>
      <c r="AA7" s="2" t="s">
        <v>56</v>
      </c>
      <c r="AB7" s="2">
        <v>6</v>
      </c>
      <c r="AC7" s="2" t="s">
        <v>57</v>
      </c>
      <c r="AD7" s="2">
        <v>0</v>
      </c>
    </row>
    <row r="8" spans="1:30" ht="30" x14ac:dyDescent="0.25">
      <c r="A8" s="2">
        <v>1</v>
      </c>
      <c r="B8" s="2" t="s">
        <v>49</v>
      </c>
      <c r="C8" s="2">
        <v>877</v>
      </c>
      <c r="D8" s="3">
        <v>45477</v>
      </c>
      <c r="E8" s="2" t="s">
        <v>73</v>
      </c>
      <c r="F8" s="2"/>
      <c r="G8" s="2" t="s">
        <v>74</v>
      </c>
      <c r="H8" s="2" t="s">
        <v>75</v>
      </c>
      <c r="I8" s="2" t="s">
        <v>51</v>
      </c>
      <c r="J8" s="3">
        <v>43239</v>
      </c>
      <c r="K8" s="2">
        <v>108</v>
      </c>
      <c r="L8" s="2"/>
      <c r="M8" s="2">
        <v>211</v>
      </c>
      <c r="N8" s="2">
        <v>196</v>
      </c>
      <c r="O8" s="2" t="s">
        <v>6</v>
      </c>
      <c r="P8" s="2" t="s">
        <v>52</v>
      </c>
      <c r="Q8" s="2"/>
      <c r="R8" s="2" t="s">
        <v>53</v>
      </c>
      <c r="S8" s="2">
        <v>8210302201</v>
      </c>
      <c r="T8" s="2" t="s">
        <v>76</v>
      </c>
      <c r="U8" s="2"/>
      <c r="V8" s="2">
        <v>9829757763</v>
      </c>
      <c r="W8" s="2" t="s">
        <v>54</v>
      </c>
      <c r="X8" s="2">
        <v>55000</v>
      </c>
      <c r="Y8" s="2" t="s">
        <v>55</v>
      </c>
      <c r="Z8" s="2" t="s">
        <v>55</v>
      </c>
      <c r="AA8" s="2" t="s">
        <v>56</v>
      </c>
      <c r="AB8" s="2">
        <v>7</v>
      </c>
      <c r="AC8" s="2" t="s">
        <v>57</v>
      </c>
      <c r="AD8" s="2">
        <v>0</v>
      </c>
    </row>
    <row r="9" spans="1:30" ht="30" x14ac:dyDescent="0.25">
      <c r="A9" s="2">
        <v>1</v>
      </c>
      <c r="B9" s="2" t="s">
        <v>49</v>
      </c>
      <c r="C9" s="2">
        <v>922</v>
      </c>
      <c r="D9" s="3">
        <v>45537</v>
      </c>
      <c r="E9" s="2" t="s">
        <v>77</v>
      </c>
      <c r="F9" s="2"/>
      <c r="G9" s="2" t="s">
        <v>78</v>
      </c>
      <c r="H9" s="2" t="s">
        <v>79</v>
      </c>
      <c r="I9" s="2" t="s">
        <v>51</v>
      </c>
      <c r="J9" s="3">
        <v>43324</v>
      </c>
      <c r="K9" s="2">
        <v>109</v>
      </c>
      <c r="L9" s="2"/>
      <c r="M9" s="2">
        <v>211</v>
      </c>
      <c r="N9" s="2">
        <v>151</v>
      </c>
      <c r="O9" s="2" t="s">
        <v>6</v>
      </c>
      <c r="P9" s="2" t="s">
        <v>52</v>
      </c>
      <c r="Q9" s="2"/>
      <c r="R9" s="2" t="s">
        <v>53</v>
      </c>
      <c r="S9" s="2">
        <v>8210302201</v>
      </c>
      <c r="T9" s="2" t="s">
        <v>80</v>
      </c>
      <c r="U9" s="2"/>
      <c r="V9" s="2">
        <v>9216846229</v>
      </c>
      <c r="W9" s="2" t="s">
        <v>81</v>
      </c>
      <c r="X9" s="2">
        <v>50000</v>
      </c>
      <c r="Y9" s="2" t="s">
        <v>55</v>
      </c>
      <c r="Z9" s="2" t="s">
        <v>55</v>
      </c>
      <c r="AA9" s="2" t="s">
        <v>56</v>
      </c>
      <c r="AB9" s="2">
        <v>7</v>
      </c>
      <c r="AC9" s="2" t="s">
        <v>57</v>
      </c>
      <c r="AD9" s="2">
        <v>0</v>
      </c>
    </row>
    <row r="10" spans="1:30" ht="30" x14ac:dyDescent="0.25">
      <c r="A10" s="2">
        <v>1</v>
      </c>
      <c r="B10" s="2" t="s">
        <v>49</v>
      </c>
      <c r="C10" s="2">
        <v>921</v>
      </c>
      <c r="D10" s="3">
        <v>45524</v>
      </c>
      <c r="E10" s="2" t="s">
        <v>82</v>
      </c>
      <c r="F10" s="2"/>
      <c r="G10" s="2" t="s">
        <v>83</v>
      </c>
      <c r="H10" s="2" t="s">
        <v>84</v>
      </c>
      <c r="I10" s="2" t="s">
        <v>67</v>
      </c>
      <c r="J10" s="3">
        <v>43235</v>
      </c>
      <c r="K10" s="2">
        <v>110</v>
      </c>
      <c r="L10" s="2"/>
      <c r="M10" s="2">
        <v>211</v>
      </c>
      <c r="N10" s="2">
        <v>150</v>
      </c>
      <c r="O10" s="2" t="s">
        <v>6</v>
      </c>
      <c r="P10" s="2" t="s">
        <v>52</v>
      </c>
      <c r="Q10" s="2"/>
      <c r="R10" s="2" t="s">
        <v>53</v>
      </c>
      <c r="S10" s="2">
        <v>8210302201</v>
      </c>
      <c r="T10" s="2" t="s">
        <v>85</v>
      </c>
      <c r="U10" s="2"/>
      <c r="V10" s="2">
        <v>9829116673</v>
      </c>
      <c r="W10" s="2" t="s">
        <v>59</v>
      </c>
      <c r="X10" s="2">
        <v>60000</v>
      </c>
      <c r="Y10" s="2" t="s">
        <v>55</v>
      </c>
      <c r="Z10" s="2" t="s">
        <v>55</v>
      </c>
      <c r="AA10" s="2" t="s">
        <v>56</v>
      </c>
      <c r="AB10" s="2">
        <v>7</v>
      </c>
      <c r="AC10" s="2" t="s">
        <v>57</v>
      </c>
      <c r="AD10" s="2">
        <v>0</v>
      </c>
    </row>
    <row r="11" spans="1:30" ht="30" x14ac:dyDescent="0.25">
      <c r="A11" s="2">
        <v>1</v>
      </c>
      <c r="B11" s="2" t="s">
        <v>49</v>
      </c>
      <c r="C11" s="2">
        <v>878</v>
      </c>
      <c r="D11" s="3">
        <v>45477</v>
      </c>
      <c r="E11" s="2" t="s">
        <v>86</v>
      </c>
      <c r="F11" s="2"/>
      <c r="G11" s="2" t="s">
        <v>87</v>
      </c>
      <c r="H11" s="2" t="s">
        <v>88</v>
      </c>
      <c r="I11" s="2" t="s">
        <v>51</v>
      </c>
      <c r="J11" s="3">
        <v>43233</v>
      </c>
      <c r="K11" s="2">
        <v>111</v>
      </c>
      <c r="L11" s="2"/>
      <c r="M11" s="2">
        <v>211</v>
      </c>
      <c r="N11" s="2">
        <v>195</v>
      </c>
      <c r="O11" s="2" t="s">
        <v>6</v>
      </c>
      <c r="P11" s="2" t="s">
        <v>52</v>
      </c>
      <c r="Q11" s="2"/>
      <c r="R11" s="2" t="s">
        <v>53</v>
      </c>
      <c r="S11" s="2">
        <v>8210302201</v>
      </c>
      <c r="T11" s="2" t="s">
        <v>89</v>
      </c>
      <c r="U11" s="2"/>
      <c r="V11" s="2">
        <v>9784088071</v>
      </c>
      <c r="W11" s="2" t="s">
        <v>54</v>
      </c>
      <c r="X11" s="2">
        <v>60000</v>
      </c>
      <c r="Y11" s="2" t="s">
        <v>55</v>
      </c>
      <c r="Z11" s="2" t="s">
        <v>55</v>
      </c>
      <c r="AA11" s="2" t="s">
        <v>56</v>
      </c>
      <c r="AB11" s="2">
        <v>7</v>
      </c>
      <c r="AC11" s="2" t="s">
        <v>57</v>
      </c>
      <c r="AD11" s="2">
        <v>0</v>
      </c>
    </row>
    <row r="12" spans="1:30" ht="30" x14ac:dyDescent="0.25">
      <c r="A12" s="2">
        <v>1</v>
      </c>
      <c r="B12" s="2" t="s">
        <v>49</v>
      </c>
      <c r="C12" s="2">
        <v>875</v>
      </c>
      <c r="D12" s="3">
        <v>45475</v>
      </c>
      <c r="E12" s="2" t="s">
        <v>90</v>
      </c>
      <c r="F12" s="2"/>
      <c r="G12" s="2" t="s">
        <v>91</v>
      </c>
      <c r="H12" s="2" t="s">
        <v>92</v>
      </c>
      <c r="I12" s="2" t="s">
        <v>51</v>
      </c>
      <c r="J12" s="3">
        <v>43262</v>
      </c>
      <c r="K12" s="2">
        <v>112</v>
      </c>
      <c r="L12" s="2"/>
      <c r="M12" s="2">
        <v>211</v>
      </c>
      <c r="N12" s="2">
        <v>198</v>
      </c>
      <c r="O12" s="2" t="s">
        <v>4</v>
      </c>
      <c r="P12" s="2" t="s">
        <v>52</v>
      </c>
      <c r="Q12" s="2"/>
      <c r="R12" s="2" t="s">
        <v>53</v>
      </c>
      <c r="S12" s="2">
        <v>8210302201</v>
      </c>
      <c r="T12" s="2" t="s">
        <v>93</v>
      </c>
      <c r="U12" s="2"/>
      <c r="V12" s="2">
        <v>8003238676</v>
      </c>
      <c r="W12" s="2" t="s">
        <v>94</v>
      </c>
      <c r="X12" s="2">
        <v>60000</v>
      </c>
      <c r="Y12" s="2" t="s">
        <v>55</v>
      </c>
      <c r="Z12" s="2" t="s">
        <v>55</v>
      </c>
      <c r="AA12" s="2" t="s">
        <v>56</v>
      </c>
      <c r="AB12" s="2">
        <v>7</v>
      </c>
      <c r="AC12" s="2" t="s">
        <v>57</v>
      </c>
      <c r="AD12" s="2">
        <v>0</v>
      </c>
    </row>
    <row r="13" spans="1:30" ht="30" x14ac:dyDescent="0.25">
      <c r="A13" s="2">
        <v>1</v>
      </c>
      <c r="B13" s="2" t="s">
        <v>49</v>
      </c>
      <c r="C13" s="2">
        <v>884</v>
      </c>
      <c r="D13" s="3">
        <v>45479</v>
      </c>
      <c r="E13" s="2" t="s">
        <v>95</v>
      </c>
      <c r="F13" s="2"/>
      <c r="G13" s="2" t="s">
        <v>96</v>
      </c>
      <c r="H13" s="2" t="s">
        <v>97</v>
      </c>
      <c r="I13" s="2" t="s">
        <v>51</v>
      </c>
      <c r="J13" s="3">
        <v>43210</v>
      </c>
      <c r="K13" s="2">
        <v>113</v>
      </c>
      <c r="L13" s="2"/>
      <c r="M13" s="2">
        <v>211</v>
      </c>
      <c r="N13" s="2">
        <v>194</v>
      </c>
      <c r="O13" s="2" t="s">
        <v>6</v>
      </c>
      <c r="P13" s="2" t="s">
        <v>52</v>
      </c>
      <c r="Q13" s="2"/>
      <c r="R13" s="2" t="s">
        <v>53</v>
      </c>
      <c r="S13" s="2">
        <v>8210302201</v>
      </c>
      <c r="T13" s="2" t="s">
        <v>98</v>
      </c>
      <c r="U13" s="2"/>
      <c r="V13" s="2">
        <v>9116833033</v>
      </c>
      <c r="W13" s="2" t="s">
        <v>54</v>
      </c>
      <c r="X13" s="2">
        <v>0</v>
      </c>
      <c r="Y13" s="2" t="s">
        <v>55</v>
      </c>
      <c r="Z13" s="2" t="s">
        <v>55</v>
      </c>
      <c r="AA13" s="2" t="s">
        <v>56</v>
      </c>
      <c r="AB13" s="2">
        <v>7</v>
      </c>
      <c r="AC13" s="2" t="s">
        <v>57</v>
      </c>
      <c r="AD13" s="2">
        <v>0</v>
      </c>
    </row>
    <row r="14" spans="1:30" ht="30" x14ac:dyDescent="0.25">
      <c r="A14" s="2">
        <v>1</v>
      </c>
      <c r="B14" s="2" t="s">
        <v>49</v>
      </c>
      <c r="C14" s="2">
        <v>879</v>
      </c>
      <c r="D14" s="3">
        <v>45478</v>
      </c>
      <c r="E14" s="2" t="s">
        <v>99</v>
      </c>
      <c r="F14" s="2"/>
      <c r="G14" s="2" t="s">
        <v>58</v>
      </c>
      <c r="H14" s="2" t="s">
        <v>100</v>
      </c>
      <c r="I14" s="2" t="s">
        <v>51</v>
      </c>
      <c r="J14" s="3">
        <v>43337</v>
      </c>
      <c r="K14" s="2">
        <v>114</v>
      </c>
      <c r="L14" s="2"/>
      <c r="M14" s="2">
        <v>211</v>
      </c>
      <c r="N14" s="2">
        <v>196</v>
      </c>
      <c r="O14" s="2" t="s">
        <v>6</v>
      </c>
      <c r="P14" s="2" t="s">
        <v>52</v>
      </c>
      <c r="Q14" s="2"/>
      <c r="R14" s="2" t="s">
        <v>53</v>
      </c>
      <c r="S14" s="2">
        <v>8210302201</v>
      </c>
      <c r="T14" s="2" t="s">
        <v>101</v>
      </c>
      <c r="U14" s="2"/>
      <c r="V14" s="2">
        <v>7425880371</v>
      </c>
      <c r="W14" s="2" t="s">
        <v>54</v>
      </c>
      <c r="X14" s="2">
        <v>0</v>
      </c>
      <c r="Y14" s="2" t="s">
        <v>55</v>
      </c>
      <c r="Z14" s="2" t="s">
        <v>55</v>
      </c>
      <c r="AA14" s="2" t="s">
        <v>56</v>
      </c>
      <c r="AB14" s="2">
        <v>7</v>
      </c>
      <c r="AC14" s="2" t="s">
        <v>57</v>
      </c>
      <c r="AD14" s="2">
        <v>0</v>
      </c>
    </row>
    <row r="15" spans="1:30" ht="30" x14ac:dyDescent="0.25">
      <c r="A15" s="2">
        <v>1</v>
      </c>
      <c r="B15" s="2" t="s">
        <v>49</v>
      </c>
      <c r="C15" s="2">
        <v>880</v>
      </c>
      <c r="D15" s="3">
        <v>45478</v>
      </c>
      <c r="E15" s="2" t="s">
        <v>102</v>
      </c>
      <c r="F15" s="2"/>
      <c r="G15" s="2" t="s">
        <v>103</v>
      </c>
      <c r="H15" s="2" t="s">
        <v>104</v>
      </c>
      <c r="I15" s="2" t="s">
        <v>51</v>
      </c>
      <c r="J15" s="3">
        <v>43099</v>
      </c>
      <c r="K15" s="2">
        <v>115</v>
      </c>
      <c r="L15" s="2"/>
      <c r="M15" s="2">
        <v>211</v>
      </c>
      <c r="N15" s="2">
        <v>193</v>
      </c>
      <c r="O15" s="2" t="s">
        <v>6</v>
      </c>
      <c r="P15" s="2" t="s">
        <v>52</v>
      </c>
      <c r="Q15" s="2"/>
      <c r="R15" s="2" t="s">
        <v>53</v>
      </c>
      <c r="S15" s="2">
        <v>8210302201</v>
      </c>
      <c r="T15" s="2" t="s">
        <v>105</v>
      </c>
      <c r="U15" s="2"/>
      <c r="V15" s="2">
        <v>9521435886</v>
      </c>
      <c r="W15" s="2" t="s">
        <v>54</v>
      </c>
      <c r="X15" s="2">
        <v>0</v>
      </c>
      <c r="Y15" s="2" t="s">
        <v>55</v>
      </c>
      <c r="Z15" s="2" t="s">
        <v>55</v>
      </c>
      <c r="AA15" s="2" t="s">
        <v>56</v>
      </c>
      <c r="AB15" s="2">
        <v>8</v>
      </c>
      <c r="AC15" s="2" t="s">
        <v>57</v>
      </c>
      <c r="AD15" s="2">
        <v>0</v>
      </c>
    </row>
    <row r="16" spans="1:30" ht="30" x14ac:dyDescent="0.25">
      <c r="A16" s="2">
        <v>1</v>
      </c>
      <c r="B16" s="2" t="s">
        <v>49</v>
      </c>
      <c r="C16" s="2">
        <v>881</v>
      </c>
      <c r="D16" s="3">
        <v>45479</v>
      </c>
      <c r="E16" s="2" t="s">
        <v>106</v>
      </c>
      <c r="F16" s="2"/>
      <c r="G16" s="2" t="s">
        <v>107</v>
      </c>
      <c r="H16" s="2" t="s">
        <v>108</v>
      </c>
      <c r="I16" s="2" t="s">
        <v>51</v>
      </c>
      <c r="J16" s="3">
        <v>43252</v>
      </c>
      <c r="K16" s="2">
        <v>116</v>
      </c>
      <c r="L16" s="2"/>
      <c r="M16" s="2">
        <v>211</v>
      </c>
      <c r="N16" s="2">
        <v>196</v>
      </c>
      <c r="O16" s="2" t="s">
        <v>6</v>
      </c>
      <c r="P16" s="2" t="s">
        <v>52</v>
      </c>
      <c r="Q16" s="2"/>
      <c r="R16" s="2" t="s">
        <v>53</v>
      </c>
      <c r="S16" s="2">
        <v>8210302201</v>
      </c>
      <c r="T16" s="2" t="s">
        <v>109</v>
      </c>
      <c r="U16" s="2"/>
      <c r="V16" s="2">
        <v>9784100510</v>
      </c>
      <c r="W16" s="2" t="s">
        <v>54</v>
      </c>
      <c r="X16" s="2">
        <v>0</v>
      </c>
      <c r="Y16" s="2" t="s">
        <v>55</v>
      </c>
      <c r="Z16" s="2" t="s">
        <v>55</v>
      </c>
      <c r="AA16" s="2" t="s">
        <v>56</v>
      </c>
      <c r="AB16" s="2">
        <v>7</v>
      </c>
      <c r="AC16" s="2" t="s">
        <v>57</v>
      </c>
      <c r="AD16" s="2">
        <v>0</v>
      </c>
    </row>
    <row r="17" spans="1:30" ht="30" x14ac:dyDescent="0.25">
      <c r="A17" s="2">
        <v>1</v>
      </c>
      <c r="B17" s="2" t="s">
        <v>49</v>
      </c>
      <c r="C17" s="2">
        <v>923</v>
      </c>
      <c r="D17" s="3">
        <v>45537</v>
      </c>
      <c r="E17" s="2" t="s">
        <v>110</v>
      </c>
      <c r="F17" s="2"/>
      <c r="G17" s="2" t="s">
        <v>111</v>
      </c>
      <c r="H17" s="2" t="s">
        <v>112</v>
      </c>
      <c r="I17" s="2" t="s">
        <v>67</v>
      </c>
      <c r="J17" s="3">
        <v>43778</v>
      </c>
      <c r="K17" s="2">
        <v>117</v>
      </c>
      <c r="L17" s="2"/>
      <c r="M17" s="2">
        <v>211</v>
      </c>
      <c r="N17" s="2">
        <v>149</v>
      </c>
      <c r="O17" s="2" t="s">
        <v>6</v>
      </c>
      <c r="P17" s="2" t="s">
        <v>52</v>
      </c>
      <c r="Q17" s="2"/>
      <c r="R17" s="2" t="s">
        <v>53</v>
      </c>
      <c r="S17" s="2">
        <v>8210302201</v>
      </c>
      <c r="T17" s="2" t="s">
        <v>113</v>
      </c>
      <c r="U17" s="2"/>
      <c r="V17" s="2">
        <v>9928775212</v>
      </c>
      <c r="W17" s="2" t="s">
        <v>81</v>
      </c>
      <c r="X17" s="2">
        <v>55000</v>
      </c>
      <c r="Y17" s="2" t="s">
        <v>55</v>
      </c>
      <c r="Z17" s="2" t="s">
        <v>55</v>
      </c>
      <c r="AA17" s="2" t="s">
        <v>56</v>
      </c>
      <c r="AB17" s="2">
        <v>6</v>
      </c>
      <c r="AC17" s="2" t="s">
        <v>57</v>
      </c>
      <c r="AD17" s="2">
        <v>0</v>
      </c>
    </row>
    <row r="18" spans="1:30" ht="30" x14ac:dyDescent="0.25">
      <c r="A18" s="2">
        <v>1</v>
      </c>
      <c r="B18" s="2" t="s">
        <v>49</v>
      </c>
      <c r="C18" s="2">
        <v>905</v>
      </c>
      <c r="D18" s="3">
        <v>45492</v>
      </c>
      <c r="E18" s="2" t="s">
        <v>114</v>
      </c>
      <c r="F18" s="2"/>
      <c r="G18" s="2" t="s">
        <v>115</v>
      </c>
      <c r="H18" s="2" t="s">
        <v>97</v>
      </c>
      <c r="I18" s="2" t="s">
        <v>51</v>
      </c>
      <c r="J18" s="3">
        <v>43419</v>
      </c>
      <c r="K18" s="2">
        <v>118</v>
      </c>
      <c r="L18" s="2"/>
      <c r="M18" s="2">
        <v>211</v>
      </c>
      <c r="N18" s="2">
        <v>170</v>
      </c>
      <c r="O18" s="2" t="s">
        <v>6</v>
      </c>
      <c r="P18" s="2" t="s">
        <v>52</v>
      </c>
      <c r="Q18" s="2"/>
      <c r="R18" s="2" t="s">
        <v>53</v>
      </c>
      <c r="S18" s="2">
        <v>8210302201</v>
      </c>
      <c r="T18" s="2" t="s">
        <v>116</v>
      </c>
      <c r="U18" s="2"/>
      <c r="V18" s="2">
        <v>9636679743</v>
      </c>
      <c r="W18" s="2" t="s">
        <v>54</v>
      </c>
      <c r="X18" s="2">
        <v>0</v>
      </c>
      <c r="Y18" s="2" t="s">
        <v>55</v>
      </c>
      <c r="Z18" s="2" t="s">
        <v>55</v>
      </c>
      <c r="AA18" s="2" t="s">
        <v>56</v>
      </c>
      <c r="AB18" s="2">
        <v>7</v>
      </c>
      <c r="AC18" s="2" t="s">
        <v>57</v>
      </c>
      <c r="AD18" s="2">
        <v>0</v>
      </c>
    </row>
    <row r="19" spans="1:30" ht="30" x14ac:dyDescent="0.25">
      <c r="A19" s="2">
        <v>1</v>
      </c>
      <c r="B19" s="2" t="s">
        <v>49</v>
      </c>
      <c r="C19" s="2">
        <v>899</v>
      </c>
      <c r="D19" s="3">
        <v>45491</v>
      </c>
      <c r="E19" s="2" t="s">
        <v>117</v>
      </c>
      <c r="F19" s="2"/>
      <c r="G19" s="2" t="s">
        <v>118</v>
      </c>
      <c r="H19" s="2" t="s">
        <v>119</v>
      </c>
      <c r="I19" s="2" t="s">
        <v>51</v>
      </c>
      <c r="J19" s="3">
        <v>42817</v>
      </c>
      <c r="K19" s="2">
        <v>119</v>
      </c>
      <c r="L19" s="2"/>
      <c r="M19" s="2">
        <v>211</v>
      </c>
      <c r="N19" s="2">
        <v>182</v>
      </c>
      <c r="O19" s="2" t="s">
        <v>6</v>
      </c>
      <c r="P19" s="2" t="s">
        <v>52</v>
      </c>
      <c r="Q19" s="2"/>
      <c r="R19" s="2" t="s">
        <v>53</v>
      </c>
      <c r="S19" s="2">
        <v>8210302201</v>
      </c>
      <c r="T19" s="2" t="s">
        <v>120</v>
      </c>
      <c r="U19" s="2"/>
      <c r="V19" s="2">
        <v>9680248530</v>
      </c>
      <c r="W19" s="2" t="s">
        <v>54</v>
      </c>
      <c r="X19" s="2">
        <v>0</v>
      </c>
      <c r="Y19" s="2" t="s">
        <v>55</v>
      </c>
      <c r="Z19" s="2" t="s">
        <v>55</v>
      </c>
      <c r="AA19" s="2" t="s">
        <v>56</v>
      </c>
      <c r="AB19" s="2">
        <v>8</v>
      </c>
      <c r="AC19" s="2" t="s">
        <v>57</v>
      </c>
      <c r="AD19" s="2">
        <v>0</v>
      </c>
    </row>
    <row r="20" spans="1:30" ht="30" x14ac:dyDescent="0.25">
      <c r="A20" s="2">
        <v>1</v>
      </c>
      <c r="B20" s="2" t="s">
        <v>49</v>
      </c>
      <c r="C20" s="2">
        <v>874</v>
      </c>
      <c r="D20" s="3">
        <v>45475</v>
      </c>
      <c r="E20" s="2" t="s">
        <v>121</v>
      </c>
      <c r="F20" s="2"/>
      <c r="G20" s="2" t="s">
        <v>122</v>
      </c>
      <c r="H20" s="2" t="s">
        <v>112</v>
      </c>
      <c r="I20" s="2" t="s">
        <v>51</v>
      </c>
      <c r="J20" s="3">
        <v>43393</v>
      </c>
      <c r="K20" s="2">
        <v>120</v>
      </c>
      <c r="L20" s="2"/>
      <c r="M20" s="2">
        <v>211</v>
      </c>
      <c r="N20" s="2">
        <v>200</v>
      </c>
      <c r="O20" s="2" t="s">
        <v>6</v>
      </c>
      <c r="P20" s="2" t="s">
        <v>52</v>
      </c>
      <c r="Q20" s="2"/>
      <c r="R20" s="2" t="s">
        <v>53</v>
      </c>
      <c r="S20" s="2">
        <v>8210302201</v>
      </c>
      <c r="T20" s="2" t="s">
        <v>123</v>
      </c>
      <c r="U20" s="2"/>
      <c r="V20" s="2">
        <v>9928775212</v>
      </c>
      <c r="W20" s="2" t="s">
        <v>54</v>
      </c>
      <c r="X20" s="2">
        <v>60000</v>
      </c>
      <c r="Y20" s="2" t="s">
        <v>55</v>
      </c>
      <c r="Z20" s="2" t="s">
        <v>55</v>
      </c>
      <c r="AA20" s="2" t="s">
        <v>56</v>
      </c>
      <c r="AB20" s="2">
        <v>7</v>
      </c>
      <c r="AC20" s="2" t="s">
        <v>57</v>
      </c>
      <c r="AD20" s="2">
        <v>0</v>
      </c>
    </row>
    <row r="21" spans="1:30" ht="30" x14ac:dyDescent="0.25">
      <c r="A21" s="2">
        <v>1</v>
      </c>
      <c r="B21" s="2" t="s">
        <v>49</v>
      </c>
      <c r="C21" s="2">
        <v>882</v>
      </c>
      <c r="D21" s="3">
        <v>45479</v>
      </c>
      <c r="E21" s="2" t="s">
        <v>124</v>
      </c>
      <c r="F21" s="2"/>
      <c r="G21" s="2" t="s">
        <v>125</v>
      </c>
      <c r="H21" s="2" t="s">
        <v>126</v>
      </c>
      <c r="I21" s="2" t="s">
        <v>51</v>
      </c>
      <c r="J21" s="3">
        <v>43265</v>
      </c>
      <c r="K21" s="2">
        <v>121</v>
      </c>
      <c r="L21" s="2"/>
      <c r="M21" s="2">
        <v>211</v>
      </c>
      <c r="N21" s="2">
        <v>194</v>
      </c>
      <c r="O21" s="2" t="s">
        <v>6</v>
      </c>
      <c r="P21" s="2" t="s">
        <v>52</v>
      </c>
      <c r="Q21" s="2"/>
      <c r="R21" s="2" t="s">
        <v>53</v>
      </c>
      <c r="S21" s="2">
        <v>8210302201</v>
      </c>
      <c r="T21" s="2" t="s">
        <v>127</v>
      </c>
      <c r="U21" s="2"/>
      <c r="V21" s="2">
        <v>9680681475</v>
      </c>
      <c r="W21" s="2" t="s">
        <v>54</v>
      </c>
      <c r="X21" s="2">
        <v>0</v>
      </c>
      <c r="Y21" s="2" t="s">
        <v>55</v>
      </c>
      <c r="Z21" s="2" t="s">
        <v>55</v>
      </c>
      <c r="AA21" s="2" t="s">
        <v>56</v>
      </c>
      <c r="AB21" s="2">
        <v>7</v>
      </c>
      <c r="AC21" s="2" t="s">
        <v>57</v>
      </c>
      <c r="AD21" s="2">
        <v>0</v>
      </c>
    </row>
    <row r="22" spans="1:30" ht="30" x14ac:dyDescent="0.25">
      <c r="A22" s="2">
        <v>1</v>
      </c>
      <c r="B22" s="2" t="s">
        <v>49</v>
      </c>
      <c r="C22" s="2">
        <v>876</v>
      </c>
      <c r="D22" s="3">
        <v>45475</v>
      </c>
      <c r="E22" s="2" t="s">
        <v>128</v>
      </c>
      <c r="F22" s="2"/>
      <c r="G22" s="2" t="s">
        <v>129</v>
      </c>
      <c r="H22" s="2" t="s">
        <v>130</v>
      </c>
      <c r="I22" s="2" t="s">
        <v>67</v>
      </c>
      <c r="J22" s="3">
        <v>42982</v>
      </c>
      <c r="K22" s="2">
        <v>122</v>
      </c>
      <c r="L22" s="2"/>
      <c r="M22" s="2">
        <v>211</v>
      </c>
      <c r="N22" s="2">
        <v>185</v>
      </c>
      <c r="O22" s="2" t="s">
        <v>6</v>
      </c>
      <c r="P22" s="2" t="s">
        <v>52</v>
      </c>
      <c r="Q22" s="2"/>
      <c r="R22" s="2" t="s">
        <v>53</v>
      </c>
      <c r="S22" s="2">
        <v>8210302201</v>
      </c>
      <c r="T22" s="2" t="s">
        <v>131</v>
      </c>
      <c r="U22" s="2"/>
      <c r="V22" s="2">
        <v>6350127158</v>
      </c>
      <c r="W22" s="2" t="s">
        <v>132</v>
      </c>
      <c r="X22" s="2">
        <v>60000</v>
      </c>
      <c r="Y22" s="2" t="s">
        <v>55</v>
      </c>
      <c r="Z22" s="2" t="s">
        <v>55</v>
      </c>
      <c r="AA22" s="2" t="s">
        <v>56</v>
      </c>
      <c r="AB22" s="2">
        <v>8</v>
      </c>
      <c r="AC22" s="2" t="s">
        <v>57</v>
      </c>
      <c r="AD22" s="2">
        <v>0</v>
      </c>
    </row>
    <row r="23" spans="1:30" ht="30" x14ac:dyDescent="0.25">
      <c r="A23" s="2">
        <v>2</v>
      </c>
      <c r="B23" s="2" t="s">
        <v>49</v>
      </c>
      <c r="C23" s="2">
        <v>814</v>
      </c>
      <c r="D23" s="3">
        <v>45113</v>
      </c>
      <c r="E23" s="2" t="s">
        <v>133</v>
      </c>
      <c r="F23" s="2"/>
      <c r="G23" s="2" t="s">
        <v>134</v>
      </c>
      <c r="H23" s="2" t="s">
        <v>135</v>
      </c>
      <c r="I23" s="2" t="s">
        <v>51</v>
      </c>
      <c r="J23" s="3">
        <v>42406</v>
      </c>
      <c r="K23" s="2">
        <v>201</v>
      </c>
      <c r="L23" s="2"/>
      <c r="M23" s="2">
        <v>211</v>
      </c>
      <c r="N23" s="2">
        <v>198</v>
      </c>
      <c r="O23" s="2" t="s">
        <v>6</v>
      </c>
      <c r="P23" s="2" t="s">
        <v>52</v>
      </c>
      <c r="Q23" s="2"/>
      <c r="R23" s="2" t="s">
        <v>53</v>
      </c>
      <c r="S23" s="2">
        <v>8210302201</v>
      </c>
      <c r="T23" s="2" t="s">
        <v>136</v>
      </c>
      <c r="U23" s="2"/>
      <c r="V23" s="2">
        <v>7023292099</v>
      </c>
      <c r="W23" s="2" t="s">
        <v>137</v>
      </c>
      <c r="X23" s="2">
        <v>0</v>
      </c>
      <c r="Y23" s="2" t="s">
        <v>55</v>
      </c>
      <c r="Z23" s="2" t="s">
        <v>55</v>
      </c>
      <c r="AA23" s="2" t="s">
        <v>56</v>
      </c>
      <c r="AB23" s="2">
        <v>9</v>
      </c>
      <c r="AC23" s="2" t="s">
        <v>57</v>
      </c>
      <c r="AD23" s="2">
        <v>0</v>
      </c>
    </row>
    <row r="24" spans="1:30" ht="30" x14ac:dyDescent="0.25">
      <c r="A24" s="2">
        <v>2</v>
      </c>
      <c r="B24" s="2" t="s">
        <v>49</v>
      </c>
      <c r="C24" s="2">
        <v>837</v>
      </c>
      <c r="D24" s="3">
        <v>45122</v>
      </c>
      <c r="E24" s="2" t="s">
        <v>138</v>
      </c>
      <c r="F24" s="2"/>
      <c r="G24" s="2" t="s">
        <v>139</v>
      </c>
      <c r="H24" s="2" t="s">
        <v>140</v>
      </c>
      <c r="I24" s="2" t="s">
        <v>51</v>
      </c>
      <c r="J24" s="3">
        <v>42498</v>
      </c>
      <c r="K24" s="2">
        <v>203</v>
      </c>
      <c r="L24" s="2"/>
      <c r="M24" s="2">
        <v>211</v>
      </c>
      <c r="N24" s="2">
        <v>192</v>
      </c>
      <c r="O24" s="2" t="s">
        <v>6</v>
      </c>
      <c r="P24" s="2" t="s">
        <v>52</v>
      </c>
      <c r="Q24" s="2"/>
      <c r="R24" s="2" t="s">
        <v>53</v>
      </c>
      <c r="S24" s="2">
        <v>8210302201</v>
      </c>
      <c r="T24" s="2" t="s">
        <v>141</v>
      </c>
      <c r="U24" s="2"/>
      <c r="V24" s="2">
        <v>8306250762</v>
      </c>
      <c r="W24" s="2" t="s">
        <v>142</v>
      </c>
      <c r="X24" s="2">
        <v>0</v>
      </c>
      <c r="Y24" s="2" t="s">
        <v>55</v>
      </c>
      <c r="Z24" s="2" t="s">
        <v>55</v>
      </c>
      <c r="AA24" s="2" t="s">
        <v>56</v>
      </c>
      <c r="AB24" s="2">
        <v>9</v>
      </c>
      <c r="AC24" s="2" t="s">
        <v>57</v>
      </c>
      <c r="AD24" s="2">
        <v>0</v>
      </c>
    </row>
    <row r="25" spans="1:30" ht="30" x14ac:dyDescent="0.25">
      <c r="A25" s="2">
        <v>2</v>
      </c>
      <c r="B25" s="2" t="s">
        <v>49</v>
      </c>
      <c r="C25" s="2">
        <v>853</v>
      </c>
      <c r="D25" s="3">
        <v>45128</v>
      </c>
      <c r="E25" s="2" t="s">
        <v>143</v>
      </c>
      <c r="F25" s="2"/>
      <c r="G25" s="2" t="s">
        <v>144</v>
      </c>
      <c r="H25" s="2" t="s">
        <v>145</v>
      </c>
      <c r="I25" s="2" t="s">
        <v>51</v>
      </c>
      <c r="J25" s="3">
        <v>42758</v>
      </c>
      <c r="K25" s="2">
        <v>204</v>
      </c>
      <c r="L25" s="2"/>
      <c r="M25" s="2">
        <v>211</v>
      </c>
      <c r="N25" s="2">
        <v>196</v>
      </c>
      <c r="O25" s="2" t="s">
        <v>6</v>
      </c>
      <c r="P25" s="2" t="s">
        <v>52</v>
      </c>
      <c r="Q25" s="2"/>
      <c r="R25" s="2" t="s">
        <v>53</v>
      </c>
      <c r="S25" s="2">
        <v>8210302201</v>
      </c>
      <c r="T25" s="2" t="s">
        <v>146</v>
      </c>
      <c r="U25" s="2"/>
      <c r="V25" s="2">
        <v>9571878347</v>
      </c>
      <c r="W25" s="2" t="s">
        <v>147</v>
      </c>
      <c r="X25" s="2">
        <v>0</v>
      </c>
      <c r="Y25" s="2" t="s">
        <v>55</v>
      </c>
      <c r="Z25" s="2" t="s">
        <v>55</v>
      </c>
      <c r="AA25" s="2" t="s">
        <v>56</v>
      </c>
      <c r="AB25" s="2">
        <v>8</v>
      </c>
      <c r="AC25" s="2" t="s">
        <v>57</v>
      </c>
      <c r="AD25" s="2">
        <v>0</v>
      </c>
    </row>
    <row r="26" spans="1:30" ht="30" x14ac:dyDescent="0.25">
      <c r="A26" s="2">
        <v>2</v>
      </c>
      <c r="B26" s="2" t="s">
        <v>49</v>
      </c>
      <c r="C26" s="2">
        <v>893</v>
      </c>
      <c r="D26" s="3">
        <v>45488</v>
      </c>
      <c r="E26" s="2" t="s">
        <v>148</v>
      </c>
      <c r="F26" s="2"/>
      <c r="G26" s="2" t="s">
        <v>149</v>
      </c>
      <c r="H26" s="2" t="s">
        <v>150</v>
      </c>
      <c r="I26" s="2" t="s">
        <v>51</v>
      </c>
      <c r="J26" s="3">
        <v>42978</v>
      </c>
      <c r="K26" s="2">
        <v>205</v>
      </c>
      <c r="L26" s="2"/>
      <c r="M26" s="2">
        <v>211</v>
      </c>
      <c r="N26" s="2">
        <v>188</v>
      </c>
      <c r="O26" s="2" t="s">
        <v>6</v>
      </c>
      <c r="P26" s="2" t="s">
        <v>52</v>
      </c>
      <c r="Q26" s="2"/>
      <c r="R26" s="2" t="s">
        <v>53</v>
      </c>
      <c r="S26" s="2">
        <v>8210302201</v>
      </c>
      <c r="T26" s="2" t="s">
        <v>151</v>
      </c>
      <c r="U26" s="2"/>
      <c r="V26" s="2">
        <v>9649377821</v>
      </c>
      <c r="W26" s="2"/>
      <c r="X26" s="2"/>
      <c r="Y26" s="2" t="s">
        <v>55</v>
      </c>
      <c r="Z26" s="2" t="s">
        <v>55</v>
      </c>
      <c r="AA26" s="2" t="s">
        <v>56</v>
      </c>
      <c r="AB26" s="2">
        <v>8</v>
      </c>
      <c r="AC26" s="2" t="s">
        <v>57</v>
      </c>
      <c r="AD26" s="2">
        <v>0</v>
      </c>
    </row>
    <row r="27" spans="1:30" ht="30" x14ac:dyDescent="0.25">
      <c r="A27" s="2">
        <v>2</v>
      </c>
      <c r="B27" s="2" t="s">
        <v>49</v>
      </c>
      <c r="C27" s="2">
        <v>863</v>
      </c>
      <c r="D27" s="3">
        <v>45148</v>
      </c>
      <c r="E27" s="2" t="s">
        <v>152</v>
      </c>
      <c r="F27" s="2"/>
      <c r="G27" s="2" t="s">
        <v>153</v>
      </c>
      <c r="H27" s="2" t="s">
        <v>154</v>
      </c>
      <c r="I27" s="2" t="s">
        <v>67</v>
      </c>
      <c r="J27" s="3">
        <v>43027</v>
      </c>
      <c r="K27" s="2">
        <v>206</v>
      </c>
      <c r="L27" s="2"/>
      <c r="M27" s="2">
        <v>211</v>
      </c>
      <c r="N27" s="2">
        <v>173</v>
      </c>
      <c r="O27" s="2" t="s">
        <v>6</v>
      </c>
      <c r="P27" s="2" t="s">
        <v>52</v>
      </c>
      <c r="Q27" s="2"/>
      <c r="R27" s="2" t="s">
        <v>53</v>
      </c>
      <c r="S27" s="2">
        <v>8210302201</v>
      </c>
      <c r="T27" s="2" t="s">
        <v>155</v>
      </c>
      <c r="U27" s="2"/>
      <c r="V27" s="2">
        <v>8290200950</v>
      </c>
      <c r="W27" s="2" t="s">
        <v>147</v>
      </c>
      <c r="X27" s="2">
        <v>0</v>
      </c>
      <c r="Y27" s="2" t="s">
        <v>55</v>
      </c>
      <c r="Z27" s="2" t="s">
        <v>55</v>
      </c>
      <c r="AA27" s="2" t="s">
        <v>56</v>
      </c>
      <c r="AB27" s="2">
        <v>8</v>
      </c>
      <c r="AC27" s="2" t="s">
        <v>57</v>
      </c>
      <c r="AD27" s="2">
        <v>0</v>
      </c>
    </row>
    <row r="28" spans="1:30" ht="30" x14ac:dyDescent="0.25">
      <c r="A28" s="2">
        <v>2</v>
      </c>
      <c r="B28" s="2" t="s">
        <v>49</v>
      </c>
      <c r="C28" s="2">
        <v>810</v>
      </c>
      <c r="D28" s="3">
        <v>45111</v>
      </c>
      <c r="E28" s="2" t="s">
        <v>156</v>
      </c>
      <c r="F28" s="2"/>
      <c r="G28" s="2" t="s">
        <v>157</v>
      </c>
      <c r="H28" s="2" t="s">
        <v>158</v>
      </c>
      <c r="I28" s="2" t="s">
        <v>67</v>
      </c>
      <c r="J28" s="3">
        <v>42889</v>
      </c>
      <c r="K28" s="2">
        <v>207</v>
      </c>
      <c r="L28" s="2"/>
      <c r="M28" s="2">
        <v>211</v>
      </c>
      <c r="N28" s="2">
        <v>181</v>
      </c>
      <c r="O28" s="2" t="s">
        <v>6</v>
      </c>
      <c r="P28" s="2" t="s">
        <v>52</v>
      </c>
      <c r="Q28" s="2"/>
      <c r="R28" s="2" t="s">
        <v>53</v>
      </c>
      <c r="S28" s="2">
        <v>8210302201</v>
      </c>
      <c r="T28" s="2" t="s">
        <v>159</v>
      </c>
      <c r="U28" s="2"/>
      <c r="V28" s="2">
        <v>9660614808</v>
      </c>
      <c r="W28" s="2" t="s">
        <v>147</v>
      </c>
      <c r="X28" s="2">
        <v>0</v>
      </c>
      <c r="Y28" s="2" t="s">
        <v>55</v>
      </c>
      <c r="Z28" s="2" t="s">
        <v>55</v>
      </c>
      <c r="AA28" s="2" t="s">
        <v>56</v>
      </c>
      <c r="AB28" s="2">
        <v>8</v>
      </c>
      <c r="AC28" s="2" t="s">
        <v>57</v>
      </c>
      <c r="AD28" s="2">
        <v>0</v>
      </c>
    </row>
    <row r="29" spans="1:30" ht="30" x14ac:dyDescent="0.25">
      <c r="A29" s="2">
        <v>2</v>
      </c>
      <c r="B29" s="2" t="s">
        <v>49</v>
      </c>
      <c r="C29" s="2">
        <v>902</v>
      </c>
      <c r="D29" s="3">
        <v>45492</v>
      </c>
      <c r="E29" s="2" t="s">
        <v>160</v>
      </c>
      <c r="F29" s="2"/>
      <c r="G29" s="2" t="s">
        <v>161</v>
      </c>
      <c r="H29" s="2" t="s">
        <v>97</v>
      </c>
      <c r="I29" s="2" t="s">
        <v>51</v>
      </c>
      <c r="J29" s="3">
        <v>42603</v>
      </c>
      <c r="K29" s="2">
        <v>208</v>
      </c>
      <c r="L29" s="2"/>
      <c r="M29" s="2">
        <v>211</v>
      </c>
      <c r="N29" s="2">
        <v>195</v>
      </c>
      <c r="O29" s="2" t="s">
        <v>6</v>
      </c>
      <c r="P29" s="2" t="s">
        <v>52</v>
      </c>
      <c r="Q29" s="2"/>
      <c r="R29" s="2" t="s">
        <v>53</v>
      </c>
      <c r="S29" s="2">
        <v>8210302201</v>
      </c>
      <c r="T29" s="2" t="s">
        <v>162</v>
      </c>
      <c r="U29" s="2"/>
      <c r="V29" s="2">
        <v>9116833033</v>
      </c>
      <c r="W29" s="2" t="s">
        <v>163</v>
      </c>
      <c r="X29" s="2">
        <v>40000</v>
      </c>
      <c r="Y29" s="2" t="s">
        <v>55</v>
      </c>
      <c r="Z29" s="2" t="s">
        <v>55</v>
      </c>
      <c r="AA29" s="2" t="s">
        <v>56</v>
      </c>
      <c r="AB29" s="2">
        <v>9</v>
      </c>
      <c r="AC29" s="2" t="s">
        <v>57</v>
      </c>
      <c r="AD29" s="2">
        <v>0</v>
      </c>
    </row>
    <row r="30" spans="1:30" ht="30" x14ac:dyDescent="0.25">
      <c r="A30" s="2">
        <v>2</v>
      </c>
      <c r="B30" s="2" t="s">
        <v>49</v>
      </c>
      <c r="C30" s="2">
        <v>844</v>
      </c>
      <c r="D30" s="3">
        <v>45125</v>
      </c>
      <c r="E30" s="2" t="s">
        <v>73</v>
      </c>
      <c r="F30" s="2"/>
      <c r="G30" s="2" t="s">
        <v>164</v>
      </c>
      <c r="H30" s="2" t="s">
        <v>165</v>
      </c>
      <c r="I30" s="2" t="s">
        <v>51</v>
      </c>
      <c r="J30" s="3">
        <v>42751</v>
      </c>
      <c r="K30" s="2">
        <v>209</v>
      </c>
      <c r="L30" s="2"/>
      <c r="M30" s="2">
        <v>211</v>
      </c>
      <c r="N30" s="2">
        <v>203</v>
      </c>
      <c r="O30" s="2" t="s">
        <v>6</v>
      </c>
      <c r="P30" s="2" t="s">
        <v>52</v>
      </c>
      <c r="Q30" s="2"/>
      <c r="R30" s="2" t="s">
        <v>53</v>
      </c>
      <c r="S30" s="2">
        <v>8210302201</v>
      </c>
      <c r="T30" s="2" t="s">
        <v>166</v>
      </c>
      <c r="U30" s="2"/>
      <c r="V30" s="2">
        <v>9950951302</v>
      </c>
      <c r="W30" s="2" t="s">
        <v>147</v>
      </c>
      <c r="X30" s="2">
        <v>0</v>
      </c>
      <c r="Y30" s="2" t="s">
        <v>55</v>
      </c>
      <c r="Z30" s="2" t="s">
        <v>55</v>
      </c>
      <c r="AA30" s="2" t="s">
        <v>56</v>
      </c>
      <c r="AB30" s="2">
        <v>8</v>
      </c>
      <c r="AC30" s="2" t="s">
        <v>57</v>
      </c>
      <c r="AD30" s="2">
        <v>0</v>
      </c>
    </row>
    <row r="31" spans="1:30" ht="30" x14ac:dyDescent="0.25">
      <c r="A31" s="2">
        <v>2</v>
      </c>
      <c r="B31" s="2" t="s">
        <v>49</v>
      </c>
      <c r="C31" s="2">
        <v>822</v>
      </c>
      <c r="D31" s="3">
        <v>45118</v>
      </c>
      <c r="E31" s="2" t="s">
        <v>167</v>
      </c>
      <c r="F31" s="2"/>
      <c r="G31" s="2" t="s">
        <v>58</v>
      </c>
      <c r="H31" s="2" t="s">
        <v>100</v>
      </c>
      <c r="I31" s="2" t="s">
        <v>51</v>
      </c>
      <c r="J31" s="3">
        <v>42880</v>
      </c>
      <c r="K31" s="2">
        <v>211</v>
      </c>
      <c r="L31" s="2"/>
      <c r="M31" s="2">
        <v>211</v>
      </c>
      <c r="N31" s="2">
        <v>198</v>
      </c>
      <c r="O31" s="2" t="s">
        <v>6</v>
      </c>
      <c r="P31" s="2" t="s">
        <v>52</v>
      </c>
      <c r="Q31" s="2"/>
      <c r="R31" s="2" t="s">
        <v>53</v>
      </c>
      <c r="S31" s="2">
        <v>8210302201</v>
      </c>
      <c r="T31" s="2" t="s">
        <v>168</v>
      </c>
      <c r="U31" s="2"/>
      <c r="V31" s="2">
        <v>8890196371</v>
      </c>
      <c r="W31" s="2" t="s">
        <v>147</v>
      </c>
      <c r="X31" s="2">
        <v>0</v>
      </c>
      <c r="Y31" s="2" t="s">
        <v>55</v>
      </c>
      <c r="Z31" s="2" t="s">
        <v>55</v>
      </c>
      <c r="AA31" s="2" t="s">
        <v>56</v>
      </c>
      <c r="AB31" s="2">
        <v>8</v>
      </c>
      <c r="AC31" s="2" t="s">
        <v>57</v>
      </c>
      <c r="AD31" s="2">
        <v>0</v>
      </c>
    </row>
    <row r="32" spans="1:30" ht="30" x14ac:dyDescent="0.25">
      <c r="A32" s="2">
        <v>2</v>
      </c>
      <c r="B32" s="2" t="s">
        <v>49</v>
      </c>
      <c r="C32" s="2">
        <v>842</v>
      </c>
      <c r="D32" s="3">
        <v>45125</v>
      </c>
      <c r="E32" s="2" t="s">
        <v>169</v>
      </c>
      <c r="F32" s="2"/>
      <c r="G32" s="2" t="s">
        <v>170</v>
      </c>
      <c r="H32" s="2" t="s">
        <v>171</v>
      </c>
      <c r="I32" s="2" t="s">
        <v>51</v>
      </c>
      <c r="J32" s="3">
        <v>43046</v>
      </c>
      <c r="K32" s="2">
        <v>212</v>
      </c>
      <c r="L32" s="2"/>
      <c r="M32" s="2">
        <v>211</v>
      </c>
      <c r="N32" s="2">
        <v>201</v>
      </c>
      <c r="O32" s="2" t="s">
        <v>6</v>
      </c>
      <c r="P32" s="2" t="s">
        <v>52</v>
      </c>
      <c r="Q32" s="2"/>
      <c r="R32" s="2" t="s">
        <v>53</v>
      </c>
      <c r="S32" s="2">
        <v>8210302201</v>
      </c>
      <c r="T32" s="2" t="s">
        <v>172</v>
      </c>
      <c r="U32" s="2"/>
      <c r="V32" s="2">
        <v>9660632244</v>
      </c>
      <c r="W32" s="2" t="s">
        <v>147</v>
      </c>
      <c r="X32" s="2">
        <v>0</v>
      </c>
      <c r="Y32" s="2" t="s">
        <v>55</v>
      </c>
      <c r="Z32" s="2" t="s">
        <v>55</v>
      </c>
      <c r="AA32" s="2" t="s">
        <v>56</v>
      </c>
      <c r="AB32" s="2">
        <v>8</v>
      </c>
      <c r="AC32" s="2" t="s">
        <v>57</v>
      </c>
      <c r="AD32" s="2">
        <v>0</v>
      </c>
    </row>
    <row r="33" spans="1:30" ht="30" x14ac:dyDescent="0.25">
      <c r="A33" s="2">
        <v>2</v>
      </c>
      <c r="B33" s="2" t="s">
        <v>49</v>
      </c>
      <c r="C33" s="2">
        <v>811</v>
      </c>
      <c r="D33" s="3">
        <v>45111</v>
      </c>
      <c r="E33" s="2" t="s">
        <v>173</v>
      </c>
      <c r="F33" s="2"/>
      <c r="G33" s="2" t="s">
        <v>174</v>
      </c>
      <c r="H33" s="2" t="s">
        <v>175</v>
      </c>
      <c r="I33" s="2" t="s">
        <v>51</v>
      </c>
      <c r="J33" s="3">
        <v>42817</v>
      </c>
      <c r="K33" s="2">
        <v>213</v>
      </c>
      <c r="L33" s="2"/>
      <c r="M33" s="2">
        <v>211</v>
      </c>
      <c r="N33" s="2">
        <v>202</v>
      </c>
      <c r="O33" s="2" t="s">
        <v>6</v>
      </c>
      <c r="P33" s="2" t="s">
        <v>52</v>
      </c>
      <c r="Q33" s="2"/>
      <c r="R33" s="2" t="s">
        <v>53</v>
      </c>
      <c r="S33" s="2">
        <v>8210302201</v>
      </c>
      <c r="T33" s="2" t="s">
        <v>176</v>
      </c>
      <c r="U33" s="2"/>
      <c r="V33" s="2">
        <v>9680679728</v>
      </c>
      <c r="W33" s="2" t="s">
        <v>147</v>
      </c>
      <c r="X33" s="2">
        <v>0</v>
      </c>
      <c r="Y33" s="2" t="s">
        <v>55</v>
      </c>
      <c r="Z33" s="2" t="s">
        <v>55</v>
      </c>
      <c r="AA33" s="2" t="s">
        <v>56</v>
      </c>
      <c r="AB33" s="2">
        <v>8</v>
      </c>
      <c r="AC33" s="2" t="s">
        <v>57</v>
      </c>
      <c r="AD33" s="2">
        <v>0</v>
      </c>
    </row>
    <row r="34" spans="1:30" ht="30" x14ac:dyDescent="0.25">
      <c r="A34" s="2">
        <v>2</v>
      </c>
      <c r="B34" s="2" t="s">
        <v>49</v>
      </c>
      <c r="C34" s="2">
        <v>813</v>
      </c>
      <c r="D34" s="3">
        <v>45112</v>
      </c>
      <c r="E34" s="2" t="s">
        <v>177</v>
      </c>
      <c r="F34" s="2"/>
      <c r="G34" s="2" t="s">
        <v>178</v>
      </c>
      <c r="H34" s="2" t="s">
        <v>179</v>
      </c>
      <c r="I34" s="2" t="s">
        <v>51</v>
      </c>
      <c r="J34" s="3">
        <v>43047</v>
      </c>
      <c r="K34" s="2">
        <v>214</v>
      </c>
      <c r="L34" s="2"/>
      <c r="M34" s="2">
        <v>211</v>
      </c>
      <c r="N34" s="2">
        <v>190</v>
      </c>
      <c r="O34" s="2" t="s">
        <v>4</v>
      </c>
      <c r="P34" s="2" t="s">
        <v>52</v>
      </c>
      <c r="Q34" s="2"/>
      <c r="R34" s="2" t="s">
        <v>53</v>
      </c>
      <c r="S34" s="2">
        <v>8210302201</v>
      </c>
      <c r="T34" s="2" t="s">
        <v>180</v>
      </c>
      <c r="U34" s="2"/>
      <c r="V34" s="2">
        <v>9521886591</v>
      </c>
      <c r="W34" s="2" t="s">
        <v>181</v>
      </c>
      <c r="X34" s="2">
        <v>0</v>
      </c>
      <c r="Y34" s="2" t="s">
        <v>55</v>
      </c>
      <c r="Z34" s="2" t="s">
        <v>55</v>
      </c>
      <c r="AA34" s="2" t="s">
        <v>56</v>
      </c>
      <c r="AB34" s="2">
        <v>8</v>
      </c>
      <c r="AC34" s="2" t="s">
        <v>57</v>
      </c>
      <c r="AD34" s="2">
        <v>0</v>
      </c>
    </row>
    <row r="35" spans="1:30" ht="30" x14ac:dyDescent="0.25">
      <c r="A35" s="2">
        <v>2</v>
      </c>
      <c r="B35" s="2" t="s">
        <v>49</v>
      </c>
      <c r="C35" s="2">
        <v>812</v>
      </c>
      <c r="D35" s="3">
        <v>45111</v>
      </c>
      <c r="E35" s="2" t="s">
        <v>182</v>
      </c>
      <c r="F35" s="2"/>
      <c r="G35" s="2" t="s">
        <v>183</v>
      </c>
      <c r="H35" s="2" t="s">
        <v>184</v>
      </c>
      <c r="I35" s="2" t="s">
        <v>51</v>
      </c>
      <c r="J35" s="3">
        <v>42736</v>
      </c>
      <c r="K35" s="2">
        <v>215</v>
      </c>
      <c r="L35" s="2"/>
      <c r="M35" s="2">
        <v>211</v>
      </c>
      <c r="N35" s="2">
        <v>198</v>
      </c>
      <c r="O35" s="2" t="s">
        <v>6</v>
      </c>
      <c r="P35" s="2" t="s">
        <v>52</v>
      </c>
      <c r="Q35" s="2"/>
      <c r="R35" s="2" t="s">
        <v>53</v>
      </c>
      <c r="S35" s="2">
        <v>8210302201</v>
      </c>
      <c r="T35" s="2" t="s">
        <v>185</v>
      </c>
      <c r="U35" s="2"/>
      <c r="V35" s="2">
        <v>9829116673</v>
      </c>
      <c r="W35" s="2" t="s">
        <v>147</v>
      </c>
      <c r="X35" s="2">
        <v>0</v>
      </c>
      <c r="Y35" s="2" t="s">
        <v>55</v>
      </c>
      <c r="Z35" s="2" t="s">
        <v>55</v>
      </c>
      <c r="AA35" s="2" t="s">
        <v>56</v>
      </c>
      <c r="AB35" s="2">
        <v>8</v>
      </c>
      <c r="AC35" s="2" t="s">
        <v>57</v>
      </c>
      <c r="AD35" s="2">
        <v>0</v>
      </c>
    </row>
    <row r="36" spans="1:30" ht="30" x14ac:dyDescent="0.25">
      <c r="A36" s="2">
        <v>2</v>
      </c>
      <c r="B36" s="2" t="s">
        <v>49</v>
      </c>
      <c r="C36" s="2">
        <v>894</v>
      </c>
      <c r="D36" s="3">
        <v>45488</v>
      </c>
      <c r="E36" s="2" t="s">
        <v>186</v>
      </c>
      <c r="F36" s="2"/>
      <c r="G36" s="2" t="s">
        <v>187</v>
      </c>
      <c r="H36" s="2" t="s">
        <v>188</v>
      </c>
      <c r="I36" s="2" t="s">
        <v>51</v>
      </c>
      <c r="J36" s="3">
        <v>42585</v>
      </c>
      <c r="K36" s="2">
        <v>216</v>
      </c>
      <c r="L36" s="2"/>
      <c r="M36" s="2">
        <v>211</v>
      </c>
      <c r="N36" s="2">
        <v>189</v>
      </c>
      <c r="O36" s="2" t="s">
        <v>6</v>
      </c>
      <c r="P36" s="2"/>
      <c r="Q36" s="2"/>
      <c r="R36" s="2" t="s">
        <v>53</v>
      </c>
      <c r="S36" s="2">
        <v>8210302201</v>
      </c>
      <c r="T36" s="2" t="s">
        <v>189</v>
      </c>
      <c r="U36" s="2"/>
      <c r="V36" s="2">
        <v>9649377821</v>
      </c>
      <c r="W36" s="2"/>
      <c r="X36" s="2"/>
      <c r="Y36" s="2" t="s">
        <v>55</v>
      </c>
      <c r="Z36" s="2" t="s">
        <v>190</v>
      </c>
      <c r="AA36" s="2"/>
      <c r="AB36" s="2">
        <v>9</v>
      </c>
      <c r="AC36" s="2"/>
      <c r="AD36" s="2">
        <v>0</v>
      </c>
    </row>
    <row r="37" spans="1:30" ht="30" x14ac:dyDescent="0.25">
      <c r="A37" s="2">
        <v>2</v>
      </c>
      <c r="B37" s="2" t="s">
        <v>49</v>
      </c>
      <c r="C37" s="2">
        <v>839</v>
      </c>
      <c r="D37" s="3">
        <v>45122</v>
      </c>
      <c r="E37" s="2" t="s">
        <v>191</v>
      </c>
      <c r="F37" s="2"/>
      <c r="G37" s="2" t="s">
        <v>118</v>
      </c>
      <c r="H37" s="2" t="s">
        <v>192</v>
      </c>
      <c r="I37" s="2" t="s">
        <v>51</v>
      </c>
      <c r="J37" s="3">
        <v>42537</v>
      </c>
      <c r="K37" s="2">
        <v>217</v>
      </c>
      <c r="L37" s="2"/>
      <c r="M37" s="2">
        <v>211</v>
      </c>
      <c r="N37" s="2">
        <v>164</v>
      </c>
      <c r="O37" s="2" t="s">
        <v>5</v>
      </c>
      <c r="P37" s="2" t="s">
        <v>52</v>
      </c>
      <c r="Q37" s="2"/>
      <c r="R37" s="2" t="s">
        <v>53</v>
      </c>
      <c r="S37" s="2">
        <v>8210302201</v>
      </c>
      <c r="T37" s="2" t="s">
        <v>193</v>
      </c>
      <c r="U37" s="2"/>
      <c r="V37" s="2">
        <v>7976550858</v>
      </c>
      <c r="W37" s="2" t="s">
        <v>194</v>
      </c>
      <c r="X37" s="2">
        <v>0</v>
      </c>
      <c r="Y37" s="2" t="s">
        <v>55</v>
      </c>
      <c r="Z37" s="2" t="s">
        <v>55</v>
      </c>
      <c r="AA37" s="2" t="s">
        <v>56</v>
      </c>
      <c r="AB37" s="2">
        <v>9</v>
      </c>
      <c r="AC37" s="2" t="s">
        <v>57</v>
      </c>
      <c r="AD37" s="2">
        <v>1</v>
      </c>
    </row>
    <row r="38" spans="1:30" ht="30" x14ac:dyDescent="0.25">
      <c r="A38" s="2">
        <v>2</v>
      </c>
      <c r="B38" s="2" t="s">
        <v>49</v>
      </c>
      <c r="C38" s="2">
        <v>831</v>
      </c>
      <c r="D38" s="3">
        <v>45120</v>
      </c>
      <c r="E38" s="2" t="s">
        <v>195</v>
      </c>
      <c r="F38" s="2"/>
      <c r="G38" s="2" t="s">
        <v>61</v>
      </c>
      <c r="H38" s="2" t="s">
        <v>62</v>
      </c>
      <c r="I38" s="2" t="s">
        <v>51</v>
      </c>
      <c r="J38" s="3">
        <v>42977</v>
      </c>
      <c r="K38" s="2">
        <v>218</v>
      </c>
      <c r="L38" s="2"/>
      <c r="M38" s="2">
        <v>211</v>
      </c>
      <c r="N38" s="2">
        <v>199</v>
      </c>
      <c r="O38" s="2" t="s">
        <v>6</v>
      </c>
      <c r="P38" s="2" t="s">
        <v>52</v>
      </c>
      <c r="Q38" s="2"/>
      <c r="R38" s="2" t="s">
        <v>53</v>
      </c>
      <c r="S38" s="2">
        <v>8210302201</v>
      </c>
      <c r="T38" s="2" t="s">
        <v>196</v>
      </c>
      <c r="U38" s="2"/>
      <c r="V38" s="2">
        <v>9509975769</v>
      </c>
      <c r="W38" s="2" t="s">
        <v>147</v>
      </c>
      <c r="X38" s="2">
        <v>0</v>
      </c>
      <c r="Y38" s="2" t="s">
        <v>55</v>
      </c>
      <c r="Z38" s="2" t="s">
        <v>55</v>
      </c>
      <c r="AA38" s="2" t="s">
        <v>56</v>
      </c>
      <c r="AB38" s="2">
        <v>8</v>
      </c>
      <c r="AC38" s="2" t="s">
        <v>57</v>
      </c>
      <c r="AD38" s="2">
        <v>0</v>
      </c>
    </row>
    <row r="39" spans="1:30" ht="30" x14ac:dyDescent="0.25">
      <c r="A39" s="2">
        <v>3</v>
      </c>
      <c r="B39" s="2" t="s">
        <v>49</v>
      </c>
      <c r="C39" s="2">
        <v>762</v>
      </c>
      <c r="D39" s="3">
        <v>44747</v>
      </c>
      <c r="E39" s="2" t="s">
        <v>197</v>
      </c>
      <c r="F39" s="2"/>
      <c r="G39" s="2" t="s">
        <v>198</v>
      </c>
      <c r="H39" s="2" t="s">
        <v>199</v>
      </c>
      <c r="I39" s="2" t="s">
        <v>51</v>
      </c>
      <c r="J39" s="3">
        <v>42738</v>
      </c>
      <c r="K39" s="2">
        <v>301</v>
      </c>
      <c r="L39" s="2"/>
      <c r="M39" s="2">
        <v>211</v>
      </c>
      <c r="N39" s="2">
        <v>182</v>
      </c>
      <c r="O39" s="2" t="s">
        <v>6</v>
      </c>
      <c r="P39" s="2" t="s">
        <v>52</v>
      </c>
      <c r="Q39" s="2"/>
      <c r="R39" s="2" t="s">
        <v>53</v>
      </c>
      <c r="S39" s="2">
        <v>8210302201</v>
      </c>
      <c r="T39" s="2" t="s">
        <v>200</v>
      </c>
      <c r="U39" s="2"/>
      <c r="V39" s="2">
        <v>9982674461</v>
      </c>
      <c r="W39" s="2" t="s">
        <v>201</v>
      </c>
      <c r="X39" s="2">
        <v>48000</v>
      </c>
      <c r="Y39" s="2" t="s">
        <v>55</v>
      </c>
      <c r="Z39" s="2" t="s">
        <v>55</v>
      </c>
      <c r="AA39" s="2" t="s">
        <v>56</v>
      </c>
      <c r="AB39" s="2">
        <v>8</v>
      </c>
      <c r="AC39" s="2" t="s">
        <v>57</v>
      </c>
      <c r="AD39" s="2">
        <v>0</v>
      </c>
    </row>
    <row r="40" spans="1:30" ht="30" x14ac:dyDescent="0.25">
      <c r="A40" s="2">
        <v>3</v>
      </c>
      <c r="B40" s="2" t="s">
        <v>49</v>
      </c>
      <c r="C40" s="2">
        <v>769</v>
      </c>
      <c r="D40" s="3">
        <v>44754</v>
      </c>
      <c r="E40" s="2" t="s">
        <v>202</v>
      </c>
      <c r="F40" s="2"/>
      <c r="G40" s="2" t="s">
        <v>122</v>
      </c>
      <c r="H40" s="2" t="s">
        <v>112</v>
      </c>
      <c r="I40" s="2" t="s">
        <v>51</v>
      </c>
      <c r="J40" s="3">
        <v>42799</v>
      </c>
      <c r="K40" s="2">
        <v>302</v>
      </c>
      <c r="L40" s="2"/>
      <c r="M40" s="2">
        <v>211</v>
      </c>
      <c r="N40" s="2">
        <v>197</v>
      </c>
      <c r="O40" s="2" t="s">
        <v>6</v>
      </c>
      <c r="P40" s="2" t="s">
        <v>52</v>
      </c>
      <c r="Q40" s="2"/>
      <c r="R40" s="2" t="s">
        <v>53</v>
      </c>
      <c r="S40" s="2">
        <v>8210302201</v>
      </c>
      <c r="T40" s="2" t="s">
        <v>203</v>
      </c>
      <c r="U40" s="2"/>
      <c r="V40" s="2">
        <v>9928775212</v>
      </c>
      <c r="W40" s="2" t="s">
        <v>201</v>
      </c>
      <c r="X40" s="2">
        <v>48000</v>
      </c>
      <c r="Y40" s="2" t="s">
        <v>55</v>
      </c>
      <c r="Z40" s="2" t="s">
        <v>55</v>
      </c>
      <c r="AA40" s="2" t="s">
        <v>56</v>
      </c>
      <c r="AB40" s="2">
        <v>8</v>
      </c>
      <c r="AC40" s="2" t="s">
        <v>57</v>
      </c>
      <c r="AD40" s="2">
        <v>0</v>
      </c>
    </row>
    <row r="41" spans="1:30" ht="30" x14ac:dyDescent="0.25">
      <c r="A41" s="2">
        <v>3</v>
      </c>
      <c r="B41" s="2" t="s">
        <v>49</v>
      </c>
      <c r="C41" s="2">
        <v>809</v>
      </c>
      <c r="D41" s="3">
        <v>44907</v>
      </c>
      <c r="E41" s="2" t="s">
        <v>204</v>
      </c>
      <c r="F41" s="2"/>
      <c r="G41" s="2" t="s">
        <v>205</v>
      </c>
      <c r="H41" s="2" t="s">
        <v>206</v>
      </c>
      <c r="I41" s="2" t="s">
        <v>51</v>
      </c>
      <c r="J41" s="3">
        <v>42543</v>
      </c>
      <c r="K41" s="2">
        <v>304</v>
      </c>
      <c r="L41" s="2"/>
      <c r="M41" s="2">
        <v>211</v>
      </c>
      <c r="N41" s="2">
        <v>197</v>
      </c>
      <c r="O41" s="2" t="s">
        <v>6</v>
      </c>
      <c r="P41" s="2"/>
      <c r="Q41" s="2"/>
      <c r="R41" s="2" t="s">
        <v>53</v>
      </c>
      <c r="S41" s="2">
        <v>8210302201</v>
      </c>
      <c r="T41" s="2" t="s">
        <v>207</v>
      </c>
      <c r="U41" s="2"/>
      <c r="V41" s="2">
        <v>9784162807</v>
      </c>
      <c r="W41" s="2"/>
      <c r="X41" s="2"/>
      <c r="Y41" s="2" t="s">
        <v>55</v>
      </c>
      <c r="Z41" s="2" t="s">
        <v>190</v>
      </c>
      <c r="AA41" s="2"/>
      <c r="AB41" s="2">
        <v>9</v>
      </c>
      <c r="AC41" s="2"/>
      <c r="AD41" s="2">
        <v>2</v>
      </c>
    </row>
    <row r="42" spans="1:30" ht="30" x14ac:dyDescent="0.25">
      <c r="A42" s="2">
        <v>3</v>
      </c>
      <c r="B42" s="2" t="s">
        <v>49</v>
      </c>
      <c r="C42" s="2">
        <v>803</v>
      </c>
      <c r="D42" s="3">
        <v>44790</v>
      </c>
      <c r="E42" s="2" t="s">
        <v>204</v>
      </c>
      <c r="F42" s="2"/>
      <c r="G42" s="2" t="s">
        <v>70</v>
      </c>
      <c r="H42" s="2" t="s">
        <v>208</v>
      </c>
      <c r="I42" s="2" t="s">
        <v>51</v>
      </c>
      <c r="J42" s="3">
        <v>42758</v>
      </c>
      <c r="K42" s="2">
        <v>303</v>
      </c>
      <c r="L42" s="2"/>
      <c r="M42" s="2">
        <v>211</v>
      </c>
      <c r="N42" s="2">
        <v>202</v>
      </c>
      <c r="O42" s="2" t="s">
        <v>6</v>
      </c>
      <c r="P42" s="2"/>
      <c r="Q42" s="2"/>
      <c r="R42" s="2" t="s">
        <v>53</v>
      </c>
      <c r="S42" s="2">
        <v>8210302201</v>
      </c>
      <c r="T42" s="2" t="s">
        <v>209</v>
      </c>
      <c r="U42" s="2"/>
      <c r="V42" s="2">
        <v>9660995235</v>
      </c>
      <c r="W42" s="2"/>
      <c r="X42" s="2"/>
      <c r="Y42" s="2" t="s">
        <v>55</v>
      </c>
      <c r="Z42" s="2" t="s">
        <v>190</v>
      </c>
      <c r="AA42" s="2"/>
      <c r="AB42" s="2">
        <v>8</v>
      </c>
      <c r="AC42" s="2"/>
      <c r="AD42" s="2">
        <v>0</v>
      </c>
    </row>
    <row r="43" spans="1:30" ht="30" x14ac:dyDescent="0.25">
      <c r="A43" s="2">
        <v>3</v>
      </c>
      <c r="B43" s="2" t="s">
        <v>49</v>
      </c>
      <c r="C43" s="2">
        <v>794</v>
      </c>
      <c r="D43" s="3">
        <v>44769</v>
      </c>
      <c r="E43" s="2" t="s">
        <v>210</v>
      </c>
      <c r="F43" s="2"/>
      <c r="G43" s="2" t="s">
        <v>65</v>
      </c>
      <c r="H43" s="2" t="s">
        <v>66</v>
      </c>
      <c r="I43" s="2" t="s">
        <v>67</v>
      </c>
      <c r="J43" s="3">
        <v>42522</v>
      </c>
      <c r="K43" s="2">
        <v>305</v>
      </c>
      <c r="L43" s="2"/>
      <c r="M43" s="2">
        <v>211</v>
      </c>
      <c r="N43" s="2">
        <v>198</v>
      </c>
      <c r="O43" s="2" t="s">
        <v>4</v>
      </c>
      <c r="P43" s="2"/>
      <c r="Q43" s="2"/>
      <c r="R43" s="2" t="s">
        <v>53</v>
      </c>
      <c r="S43" s="2">
        <v>8210302201</v>
      </c>
      <c r="T43" s="2" t="s">
        <v>211</v>
      </c>
      <c r="U43" s="2"/>
      <c r="V43" s="2">
        <v>9829441641</v>
      </c>
      <c r="W43" s="2"/>
      <c r="X43" s="2"/>
      <c r="Y43" s="2" t="s">
        <v>55</v>
      </c>
      <c r="Z43" s="2" t="s">
        <v>190</v>
      </c>
      <c r="AA43" s="2"/>
      <c r="AB43" s="2">
        <v>9</v>
      </c>
      <c r="AC43" s="2"/>
      <c r="AD43" s="2">
        <v>0</v>
      </c>
    </row>
    <row r="44" spans="1:30" ht="30" x14ac:dyDescent="0.25">
      <c r="A44" s="2">
        <v>3</v>
      </c>
      <c r="B44" s="2" t="s">
        <v>49</v>
      </c>
      <c r="C44" s="2">
        <v>770</v>
      </c>
      <c r="D44" s="3">
        <v>44754</v>
      </c>
      <c r="E44" s="2" t="s">
        <v>212</v>
      </c>
      <c r="F44" s="2"/>
      <c r="G44" s="2" t="s">
        <v>87</v>
      </c>
      <c r="H44" s="2" t="s">
        <v>88</v>
      </c>
      <c r="I44" s="2" t="s">
        <v>51</v>
      </c>
      <c r="J44" s="3">
        <v>42691</v>
      </c>
      <c r="K44" s="2">
        <v>306</v>
      </c>
      <c r="L44" s="2"/>
      <c r="M44" s="2">
        <v>211</v>
      </c>
      <c r="N44" s="2">
        <v>200</v>
      </c>
      <c r="O44" s="2" t="s">
        <v>6</v>
      </c>
      <c r="P44" s="2"/>
      <c r="Q44" s="2"/>
      <c r="R44" s="2" t="s">
        <v>53</v>
      </c>
      <c r="S44" s="2">
        <v>8210302201</v>
      </c>
      <c r="T44" s="2" t="s">
        <v>213</v>
      </c>
      <c r="U44" s="2"/>
      <c r="V44" s="2">
        <v>9785841171</v>
      </c>
      <c r="W44" s="2" t="s">
        <v>214</v>
      </c>
      <c r="X44" s="2">
        <v>0</v>
      </c>
      <c r="Y44" s="2" t="s">
        <v>55</v>
      </c>
      <c r="Z44" s="2" t="s">
        <v>55</v>
      </c>
      <c r="AA44" s="2"/>
      <c r="AB44" s="2">
        <v>9</v>
      </c>
      <c r="AC44" s="2" t="s">
        <v>57</v>
      </c>
      <c r="AD44" s="2">
        <v>0</v>
      </c>
    </row>
    <row r="45" spans="1:30" ht="30" x14ac:dyDescent="0.25">
      <c r="A45" s="2">
        <v>3</v>
      </c>
      <c r="B45" s="2" t="s">
        <v>49</v>
      </c>
      <c r="C45" s="2">
        <v>798</v>
      </c>
      <c r="D45" s="3">
        <v>44772</v>
      </c>
      <c r="E45" s="2" t="s">
        <v>156</v>
      </c>
      <c r="F45" s="2"/>
      <c r="G45" s="2" t="s">
        <v>215</v>
      </c>
      <c r="H45" s="2" t="s">
        <v>216</v>
      </c>
      <c r="I45" s="2" t="s">
        <v>67</v>
      </c>
      <c r="J45" s="3">
        <v>42755</v>
      </c>
      <c r="K45" s="2">
        <v>307</v>
      </c>
      <c r="L45" s="2"/>
      <c r="M45" s="2">
        <v>211</v>
      </c>
      <c r="N45" s="2">
        <v>192</v>
      </c>
      <c r="O45" s="2" t="s">
        <v>6</v>
      </c>
      <c r="P45" s="2"/>
      <c r="Q45" s="2"/>
      <c r="R45" s="2" t="s">
        <v>53</v>
      </c>
      <c r="S45" s="2">
        <v>8210302201</v>
      </c>
      <c r="T45" s="2" t="s">
        <v>217</v>
      </c>
      <c r="U45" s="2"/>
      <c r="V45" s="2">
        <v>7340609672</v>
      </c>
      <c r="W45" s="2"/>
      <c r="X45" s="2"/>
      <c r="Y45" s="2" t="s">
        <v>55</v>
      </c>
      <c r="Z45" s="2" t="s">
        <v>190</v>
      </c>
      <c r="AA45" s="2"/>
      <c r="AB45" s="2">
        <v>8</v>
      </c>
      <c r="AC45" s="2"/>
      <c r="AD45" s="2">
        <v>0</v>
      </c>
    </row>
    <row r="46" spans="1:30" ht="30" x14ac:dyDescent="0.25">
      <c r="A46" s="2">
        <v>3</v>
      </c>
      <c r="B46" s="2" t="s">
        <v>49</v>
      </c>
      <c r="C46" s="2">
        <v>781</v>
      </c>
      <c r="D46" s="3">
        <v>44755</v>
      </c>
      <c r="E46" s="2" t="s">
        <v>218</v>
      </c>
      <c r="F46" s="2"/>
      <c r="G46" s="2" t="s">
        <v>219</v>
      </c>
      <c r="H46" s="2" t="s">
        <v>220</v>
      </c>
      <c r="I46" s="2" t="s">
        <v>67</v>
      </c>
      <c r="J46" s="3">
        <v>42686</v>
      </c>
      <c r="K46" s="2">
        <v>308</v>
      </c>
      <c r="L46" s="2"/>
      <c r="M46" s="2">
        <v>211</v>
      </c>
      <c r="N46" s="2">
        <v>200</v>
      </c>
      <c r="O46" s="2" t="s">
        <v>6</v>
      </c>
      <c r="P46" s="2"/>
      <c r="Q46" s="2"/>
      <c r="R46" s="2" t="s">
        <v>53</v>
      </c>
      <c r="S46" s="2">
        <v>8210302201</v>
      </c>
      <c r="T46" s="2" t="s">
        <v>221</v>
      </c>
      <c r="U46" s="2"/>
      <c r="V46" s="2">
        <v>7726887841</v>
      </c>
      <c r="W46" s="2"/>
      <c r="X46" s="2"/>
      <c r="Y46" s="2" t="s">
        <v>55</v>
      </c>
      <c r="Z46" s="2" t="s">
        <v>190</v>
      </c>
      <c r="AA46" s="2"/>
      <c r="AB46" s="2">
        <v>9</v>
      </c>
      <c r="AC46" s="2"/>
      <c r="AD46" s="2">
        <v>0</v>
      </c>
    </row>
    <row r="47" spans="1:30" ht="30" x14ac:dyDescent="0.25">
      <c r="A47" s="2">
        <v>3</v>
      </c>
      <c r="B47" s="2" t="s">
        <v>49</v>
      </c>
      <c r="C47" s="2">
        <v>808</v>
      </c>
      <c r="D47" s="3">
        <v>44834</v>
      </c>
      <c r="E47" s="2" t="s">
        <v>222</v>
      </c>
      <c r="F47" s="2"/>
      <c r="G47" s="2" t="s">
        <v>223</v>
      </c>
      <c r="H47" s="2" t="s">
        <v>224</v>
      </c>
      <c r="I47" s="2" t="s">
        <v>67</v>
      </c>
      <c r="J47" s="3">
        <v>42502</v>
      </c>
      <c r="K47" s="2">
        <v>309</v>
      </c>
      <c r="L47" s="2"/>
      <c r="M47" s="2">
        <v>211</v>
      </c>
      <c r="N47" s="2">
        <v>199</v>
      </c>
      <c r="O47" s="2" t="s">
        <v>4</v>
      </c>
      <c r="P47" s="2"/>
      <c r="Q47" s="2"/>
      <c r="R47" s="2" t="s">
        <v>53</v>
      </c>
      <c r="S47" s="2">
        <v>8210302201</v>
      </c>
      <c r="T47" s="2" t="s">
        <v>225</v>
      </c>
      <c r="U47" s="2"/>
      <c r="V47" s="2">
        <v>7878669098</v>
      </c>
      <c r="W47" s="2" t="s">
        <v>226</v>
      </c>
      <c r="X47" s="2"/>
      <c r="Y47" s="2" t="s">
        <v>55</v>
      </c>
      <c r="Z47" s="2" t="s">
        <v>55</v>
      </c>
      <c r="AA47" s="2"/>
      <c r="AB47" s="2">
        <v>9</v>
      </c>
      <c r="AC47" s="2" t="s">
        <v>57</v>
      </c>
      <c r="AD47" s="2">
        <v>0</v>
      </c>
    </row>
    <row r="48" spans="1:30" ht="30" x14ac:dyDescent="0.25">
      <c r="A48" s="2">
        <v>3</v>
      </c>
      <c r="B48" s="2" t="s">
        <v>49</v>
      </c>
      <c r="C48" s="2">
        <v>780</v>
      </c>
      <c r="D48" s="3">
        <v>44755</v>
      </c>
      <c r="E48" s="2" t="s">
        <v>227</v>
      </c>
      <c r="F48" s="2"/>
      <c r="G48" s="2" t="s">
        <v>228</v>
      </c>
      <c r="H48" s="2" t="s">
        <v>229</v>
      </c>
      <c r="I48" s="2" t="s">
        <v>67</v>
      </c>
      <c r="J48" s="3">
        <v>42709</v>
      </c>
      <c r="K48" s="2">
        <v>310</v>
      </c>
      <c r="L48" s="2"/>
      <c r="M48" s="2">
        <v>211</v>
      </c>
      <c r="N48" s="2">
        <v>141</v>
      </c>
      <c r="O48" s="2" t="s">
        <v>6</v>
      </c>
      <c r="P48" s="2"/>
      <c r="Q48" s="2"/>
      <c r="R48" s="2" t="s">
        <v>53</v>
      </c>
      <c r="S48" s="2">
        <v>8210302201</v>
      </c>
      <c r="T48" s="2" t="s">
        <v>230</v>
      </c>
      <c r="U48" s="2"/>
      <c r="V48" s="2">
        <v>9929339429</v>
      </c>
      <c r="W48" s="2"/>
      <c r="X48" s="2"/>
      <c r="Y48" s="2" t="s">
        <v>55</v>
      </c>
      <c r="Z48" s="2" t="s">
        <v>55</v>
      </c>
      <c r="AA48" s="2"/>
      <c r="AB48" s="2">
        <v>9</v>
      </c>
      <c r="AC48" s="2" t="s">
        <v>57</v>
      </c>
      <c r="AD48" s="2">
        <v>0</v>
      </c>
    </row>
    <row r="49" spans="1:30" ht="30" x14ac:dyDescent="0.25">
      <c r="A49" s="2">
        <v>3</v>
      </c>
      <c r="B49" s="2" t="s">
        <v>49</v>
      </c>
      <c r="C49" s="2">
        <v>787</v>
      </c>
      <c r="D49" s="3">
        <v>44764</v>
      </c>
      <c r="E49" s="2" t="s">
        <v>231</v>
      </c>
      <c r="F49" s="2"/>
      <c r="G49" s="2" t="s">
        <v>115</v>
      </c>
      <c r="H49" s="2" t="s">
        <v>97</v>
      </c>
      <c r="I49" s="2" t="s">
        <v>51</v>
      </c>
      <c r="J49" s="3">
        <v>42626</v>
      </c>
      <c r="K49" s="2">
        <v>311</v>
      </c>
      <c r="L49" s="2"/>
      <c r="M49" s="2">
        <v>211</v>
      </c>
      <c r="N49" s="2">
        <v>183</v>
      </c>
      <c r="O49" s="2" t="s">
        <v>6</v>
      </c>
      <c r="P49" s="2"/>
      <c r="Q49" s="2"/>
      <c r="R49" s="2" t="s">
        <v>53</v>
      </c>
      <c r="S49" s="2">
        <v>8210302201</v>
      </c>
      <c r="T49" s="2" t="s">
        <v>232</v>
      </c>
      <c r="U49" s="2"/>
      <c r="V49" s="2">
        <v>9636679743</v>
      </c>
      <c r="W49" s="2"/>
      <c r="X49" s="2"/>
      <c r="Y49" s="2" t="s">
        <v>55</v>
      </c>
      <c r="Z49" s="2" t="s">
        <v>190</v>
      </c>
      <c r="AA49" s="2"/>
      <c r="AB49" s="2">
        <v>9</v>
      </c>
      <c r="AC49" s="2"/>
      <c r="AD49" s="2">
        <v>0</v>
      </c>
    </row>
    <row r="50" spans="1:30" ht="30" x14ac:dyDescent="0.25">
      <c r="A50" s="2">
        <v>3</v>
      </c>
      <c r="B50" s="2" t="s">
        <v>49</v>
      </c>
      <c r="C50" s="2">
        <v>872</v>
      </c>
      <c r="D50" s="3">
        <v>45226</v>
      </c>
      <c r="E50" s="2" t="s">
        <v>233</v>
      </c>
      <c r="F50" s="2"/>
      <c r="G50" s="2" t="s">
        <v>234</v>
      </c>
      <c r="H50" s="2" t="s">
        <v>235</v>
      </c>
      <c r="I50" s="2" t="s">
        <v>51</v>
      </c>
      <c r="J50" s="3">
        <v>42827</v>
      </c>
      <c r="K50" s="2">
        <v>312</v>
      </c>
      <c r="L50" s="2"/>
      <c r="M50" s="2">
        <v>211</v>
      </c>
      <c r="N50" s="2">
        <v>202</v>
      </c>
      <c r="O50" s="2" t="s">
        <v>6</v>
      </c>
      <c r="P50" s="2"/>
      <c r="Q50" s="2"/>
      <c r="R50" s="2" t="s">
        <v>53</v>
      </c>
      <c r="S50" s="2">
        <v>8210302201</v>
      </c>
      <c r="T50" s="2" t="s">
        <v>236</v>
      </c>
      <c r="U50" s="2"/>
      <c r="V50" s="2">
        <v>9829798229</v>
      </c>
      <c r="W50" s="2"/>
      <c r="X50" s="2"/>
      <c r="Y50" s="2" t="s">
        <v>55</v>
      </c>
      <c r="Z50" s="2" t="s">
        <v>190</v>
      </c>
      <c r="AA50" s="2"/>
      <c r="AB50" s="2">
        <v>8</v>
      </c>
      <c r="AC50" s="2"/>
      <c r="AD50" s="2">
        <v>0</v>
      </c>
    </row>
    <row r="51" spans="1:30" ht="30" x14ac:dyDescent="0.25">
      <c r="A51" s="2">
        <v>3</v>
      </c>
      <c r="B51" s="2" t="s">
        <v>49</v>
      </c>
      <c r="C51" s="2">
        <v>801</v>
      </c>
      <c r="D51" s="3">
        <v>44790</v>
      </c>
      <c r="E51" s="2" t="s">
        <v>237</v>
      </c>
      <c r="F51" s="2"/>
      <c r="G51" s="2" t="s">
        <v>238</v>
      </c>
      <c r="H51" s="2" t="s">
        <v>239</v>
      </c>
      <c r="I51" s="2" t="s">
        <v>67</v>
      </c>
      <c r="J51" s="3">
        <v>42946</v>
      </c>
      <c r="K51" s="2">
        <v>313</v>
      </c>
      <c r="L51" s="2"/>
      <c r="M51" s="2">
        <v>211</v>
      </c>
      <c r="N51" s="2">
        <v>200</v>
      </c>
      <c r="O51" s="2" t="s">
        <v>6</v>
      </c>
      <c r="P51" s="2"/>
      <c r="Q51" s="2"/>
      <c r="R51" s="2" t="s">
        <v>53</v>
      </c>
      <c r="S51" s="2">
        <v>8210302201</v>
      </c>
      <c r="T51" s="2" t="s">
        <v>240</v>
      </c>
      <c r="U51" s="2"/>
      <c r="V51" s="2">
        <v>9571479136</v>
      </c>
      <c r="W51" s="2"/>
      <c r="X51" s="2"/>
      <c r="Y51" s="2" t="s">
        <v>55</v>
      </c>
      <c r="Z51" s="2" t="s">
        <v>190</v>
      </c>
      <c r="AA51" s="2"/>
      <c r="AB51" s="2">
        <v>8</v>
      </c>
      <c r="AC51" s="2"/>
      <c r="AD51" s="2">
        <v>0</v>
      </c>
    </row>
    <row r="52" spans="1:30" ht="30" x14ac:dyDescent="0.25">
      <c r="A52" s="2">
        <v>3</v>
      </c>
      <c r="B52" s="2" t="s">
        <v>49</v>
      </c>
      <c r="C52" s="2">
        <v>766</v>
      </c>
      <c r="D52" s="3">
        <v>44754</v>
      </c>
      <c r="E52" s="2" t="s">
        <v>241</v>
      </c>
      <c r="F52" s="2"/>
      <c r="G52" s="2" t="s">
        <v>242</v>
      </c>
      <c r="H52" s="2" t="s">
        <v>243</v>
      </c>
      <c r="I52" s="2" t="s">
        <v>67</v>
      </c>
      <c r="J52" s="3">
        <v>42292</v>
      </c>
      <c r="K52" s="2">
        <v>315</v>
      </c>
      <c r="L52" s="2"/>
      <c r="M52" s="2">
        <v>211</v>
      </c>
      <c r="N52" s="2">
        <v>203</v>
      </c>
      <c r="O52" s="2" t="s">
        <v>6</v>
      </c>
      <c r="P52" s="2" t="s">
        <v>52</v>
      </c>
      <c r="Q52" s="2"/>
      <c r="R52" s="2" t="s">
        <v>53</v>
      </c>
      <c r="S52" s="2">
        <v>8210302201</v>
      </c>
      <c r="T52" s="2" t="s">
        <v>244</v>
      </c>
      <c r="U52" s="2"/>
      <c r="V52" s="2">
        <v>9929612691</v>
      </c>
      <c r="W52" s="2" t="s">
        <v>201</v>
      </c>
      <c r="X52" s="2">
        <v>48000</v>
      </c>
      <c r="Y52" s="2" t="s">
        <v>55</v>
      </c>
      <c r="Z52" s="2" t="s">
        <v>55</v>
      </c>
      <c r="AA52" s="2" t="s">
        <v>56</v>
      </c>
      <c r="AB52" s="2">
        <v>10</v>
      </c>
      <c r="AC52" s="2" t="s">
        <v>57</v>
      </c>
      <c r="AD52" s="2">
        <v>0</v>
      </c>
    </row>
    <row r="53" spans="1:30" ht="30" x14ac:dyDescent="0.25">
      <c r="A53" s="2">
        <v>3</v>
      </c>
      <c r="B53" s="2" t="s">
        <v>49</v>
      </c>
      <c r="C53" s="2">
        <v>805</v>
      </c>
      <c r="D53" s="3">
        <v>44807</v>
      </c>
      <c r="E53" s="2" t="s">
        <v>245</v>
      </c>
      <c r="F53" s="2"/>
      <c r="G53" s="2" t="s">
        <v>246</v>
      </c>
      <c r="H53" s="2" t="s">
        <v>247</v>
      </c>
      <c r="I53" s="2" t="s">
        <v>67</v>
      </c>
      <c r="J53" s="3">
        <v>42658</v>
      </c>
      <c r="K53" s="2">
        <v>316</v>
      </c>
      <c r="L53" s="2"/>
      <c r="M53" s="2">
        <v>211</v>
      </c>
      <c r="N53" s="2">
        <v>117</v>
      </c>
      <c r="O53" s="2" t="s">
        <v>6</v>
      </c>
      <c r="P53" s="2"/>
      <c r="Q53" s="2"/>
      <c r="R53" s="2" t="s">
        <v>53</v>
      </c>
      <c r="S53" s="2">
        <v>8210302201</v>
      </c>
      <c r="T53" s="2" t="s">
        <v>248</v>
      </c>
      <c r="U53" s="2"/>
      <c r="V53" s="2">
        <v>8769395038</v>
      </c>
      <c r="W53" s="2"/>
      <c r="X53" s="2"/>
      <c r="Y53" s="2" t="s">
        <v>55</v>
      </c>
      <c r="Z53" s="2" t="s">
        <v>190</v>
      </c>
      <c r="AA53" s="2"/>
      <c r="AB53" s="2">
        <v>9</v>
      </c>
      <c r="AC53" s="2"/>
      <c r="AD53" s="2">
        <v>0</v>
      </c>
    </row>
    <row r="54" spans="1:30" ht="30" x14ac:dyDescent="0.25">
      <c r="A54" s="2">
        <v>3</v>
      </c>
      <c r="B54" s="2" t="s">
        <v>49</v>
      </c>
      <c r="C54" s="2">
        <v>816</v>
      </c>
      <c r="D54" s="3">
        <v>45118</v>
      </c>
      <c r="E54" s="2" t="s">
        <v>249</v>
      </c>
      <c r="F54" s="2"/>
      <c r="G54" s="2" t="s">
        <v>250</v>
      </c>
      <c r="H54" s="2" t="s">
        <v>251</v>
      </c>
      <c r="I54" s="2" t="s">
        <v>51</v>
      </c>
      <c r="J54" s="3">
        <v>42379</v>
      </c>
      <c r="K54" s="2">
        <v>317</v>
      </c>
      <c r="L54" s="2"/>
      <c r="M54" s="2">
        <v>211</v>
      </c>
      <c r="N54" s="2">
        <v>202</v>
      </c>
      <c r="O54" s="2" t="s">
        <v>6</v>
      </c>
      <c r="P54" s="2"/>
      <c r="Q54" s="2"/>
      <c r="R54" s="2" t="s">
        <v>53</v>
      </c>
      <c r="S54" s="2">
        <v>8210302201</v>
      </c>
      <c r="T54" s="2" t="s">
        <v>252</v>
      </c>
      <c r="U54" s="2"/>
      <c r="V54" s="2">
        <v>9680679728</v>
      </c>
      <c r="W54" s="2"/>
      <c r="X54" s="2"/>
      <c r="Y54" s="2" t="s">
        <v>55</v>
      </c>
      <c r="Z54" s="2" t="s">
        <v>190</v>
      </c>
      <c r="AA54" s="2"/>
      <c r="AB54" s="2">
        <v>9</v>
      </c>
      <c r="AC54" s="2"/>
      <c r="AD54" s="2">
        <v>0</v>
      </c>
    </row>
    <row r="55" spans="1:30" ht="30" x14ac:dyDescent="0.25">
      <c r="A55" s="2">
        <v>3</v>
      </c>
      <c r="B55" s="2" t="s">
        <v>49</v>
      </c>
      <c r="C55" s="2">
        <v>760</v>
      </c>
      <c r="D55" s="3">
        <v>44747</v>
      </c>
      <c r="E55" s="2" t="s">
        <v>124</v>
      </c>
      <c r="F55" s="2"/>
      <c r="G55" s="2" t="s">
        <v>253</v>
      </c>
      <c r="H55" s="2" t="s">
        <v>254</v>
      </c>
      <c r="I55" s="2" t="s">
        <v>51</v>
      </c>
      <c r="J55" s="3">
        <v>42702</v>
      </c>
      <c r="K55" s="2">
        <v>318</v>
      </c>
      <c r="L55" s="2"/>
      <c r="M55" s="2">
        <v>211</v>
      </c>
      <c r="N55" s="2">
        <v>200</v>
      </c>
      <c r="O55" s="2" t="s">
        <v>4</v>
      </c>
      <c r="P55" s="2" t="s">
        <v>52</v>
      </c>
      <c r="Q55" s="2"/>
      <c r="R55" s="2" t="s">
        <v>53</v>
      </c>
      <c r="S55" s="2">
        <v>8210302201</v>
      </c>
      <c r="T55" s="2" t="s">
        <v>255</v>
      </c>
      <c r="U55" s="2"/>
      <c r="V55" s="2">
        <v>9588942595</v>
      </c>
      <c r="W55" s="2" t="s">
        <v>201</v>
      </c>
      <c r="X55" s="2">
        <v>50000</v>
      </c>
      <c r="Y55" s="2" t="s">
        <v>55</v>
      </c>
      <c r="Z55" s="2" t="s">
        <v>55</v>
      </c>
      <c r="AA55" s="2" t="s">
        <v>56</v>
      </c>
      <c r="AB55" s="2">
        <v>9</v>
      </c>
      <c r="AC55" s="2" t="s">
        <v>57</v>
      </c>
      <c r="AD55" s="2">
        <v>0</v>
      </c>
    </row>
    <row r="56" spans="1:30" ht="30" x14ac:dyDescent="0.25">
      <c r="A56" s="2">
        <v>3</v>
      </c>
      <c r="B56" s="2" t="s">
        <v>49</v>
      </c>
      <c r="C56" s="2">
        <v>768</v>
      </c>
      <c r="D56" s="3">
        <v>44754</v>
      </c>
      <c r="E56" s="2" t="s">
        <v>256</v>
      </c>
      <c r="F56" s="2"/>
      <c r="G56" s="2" t="s">
        <v>257</v>
      </c>
      <c r="H56" s="2" t="s">
        <v>258</v>
      </c>
      <c r="I56" s="2" t="s">
        <v>67</v>
      </c>
      <c r="J56" s="3">
        <v>42254</v>
      </c>
      <c r="K56" s="2">
        <v>319</v>
      </c>
      <c r="L56" s="2"/>
      <c r="M56" s="2">
        <v>211</v>
      </c>
      <c r="N56" s="2">
        <v>200</v>
      </c>
      <c r="O56" s="2" t="s">
        <v>4</v>
      </c>
      <c r="P56" s="2" t="s">
        <v>52</v>
      </c>
      <c r="Q56" s="2"/>
      <c r="R56" s="2" t="s">
        <v>53</v>
      </c>
      <c r="S56" s="2">
        <v>8210302201</v>
      </c>
      <c r="T56" s="2" t="s">
        <v>259</v>
      </c>
      <c r="U56" s="2"/>
      <c r="V56" s="2">
        <v>7023127509</v>
      </c>
      <c r="W56" s="2" t="s">
        <v>201</v>
      </c>
      <c r="X56" s="2">
        <v>48000</v>
      </c>
      <c r="Y56" s="2" t="s">
        <v>55</v>
      </c>
      <c r="Z56" s="2" t="s">
        <v>55</v>
      </c>
      <c r="AA56" s="2" t="s">
        <v>56</v>
      </c>
      <c r="AB56" s="2">
        <v>10</v>
      </c>
      <c r="AC56" s="2" t="s">
        <v>57</v>
      </c>
      <c r="AD56" s="2">
        <v>0</v>
      </c>
    </row>
    <row r="57" spans="1:30" ht="30" x14ac:dyDescent="0.25">
      <c r="A57" s="2">
        <v>4</v>
      </c>
      <c r="B57" s="2" t="s">
        <v>49</v>
      </c>
      <c r="C57" s="2">
        <v>840</v>
      </c>
      <c r="D57" s="3">
        <v>45122</v>
      </c>
      <c r="E57" s="2" t="s">
        <v>204</v>
      </c>
      <c r="F57" s="2"/>
      <c r="G57" s="2" t="s">
        <v>260</v>
      </c>
      <c r="H57" s="2" t="s">
        <v>261</v>
      </c>
      <c r="I57" s="2" t="s">
        <v>51</v>
      </c>
      <c r="J57" s="3">
        <v>41640</v>
      </c>
      <c r="K57" s="2">
        <v>403</v>
      </c>
      <c r="L57" s="2"/>
      <c r="M57" s="2">
        <v>211</v>
      </c>
      <c r="N57" s="2">
        <v>176</v>
      </c>
      <c r="O57" s="2" t="s">
        <v>5</v>
      </c>
      <c r="P57" s="2"/>
      <c r="Q57" s="2"/>
      <c r="R57" s="2" t="s">
        <v>53</v>
      </c>
      <c r="S57" s="2">
        <v>8210302201</v>
      </c>
      <c r="T57" s="2" t="s">
        <v>262</v>
      </c>
      <c r="U57" s="2"/>
      <c r="V57" s="2">
        <v>7976550858</v>
      </c>
      <c r="W57" s="2"/>
      <c r="X57" s="2"/>
      <c r="Y57" s="2" t="s">
        <v>55</v>
      </c>
      <c r="Z57" s="2" t="s">
        <v>190</v>
      </c>
      <c r="AA57" s="2"/>
      <c r="AB57" s="2">
        <v>11</v>
      </c>
      <c r="AC57" s="2"/>
      <c r="AD57" s="2">
        <v>1</v>
      </c>
    </row>
    <row r="58" spans="1:30" ht="30" x14ac:dyDescent="0.25">
      <c r="A58" s="2">
        <v>4</v>
      </c>
      <c r="B58" s="2" t="s">
        <v>49</v>
      </c>
      <c r="C58" s="2">
        <v>717</v>
      </c>
      <c r="D58" s="3">
        <v>44413</v>
      </c>
      <c r="E58" s="2" t="s">
        <v>204</v>
      </c>
      <c r="F58" s="2"/>
      <c r="G58" s="2" t="s">
        <v>263</v>
      </c>
      <c r="H58" s="2" t="s">
        <v>264</v>
      </c>
      <c r="I58" s="2" t="s">
        <v>67</v>
      </c>
      <c r="J58" s="3">
        <v>42410</v>
      </c>
      <c r="K58" s="2">
        <v>402</v>
      </c>
      <c r="L58" s="2"/>
      <c r="M58" s="2">
        <v>211</v>
      </c>
      <c r="N58" s="2">
        <v>183</v>
      </c>
      <c r="O58" s="2" t="s">
        <v>6</v>
      </c>
      <c r="P58" s="2" t="s">
        <v>52</v>
      </c>
      <c r="Q58" s="2"/>
      <c r="R58" s="2" t="s">
        <v>53</v>
      </c>
      <c r="S58" s="2">
        <v>8210302201</v>
      </c>
      <c r="T58" s="2" t="s">
        <v>265</v>
      </c>
      <c r="U58" s="2"/>
      <c r="V58" s="2">
        <v>9484100510</v>
      </c>
      <c r="W58" s="2" t="s">
        <v>266</v>
      </c>
      <c r="X58" s="2">
        <v>80000</v>
      </c>
      <c r="Y58" s="2" t="s">
        <v>55</v>
      </c>
      <c r="Z58" s="2" t="s">
        <v>55</v>
      </c>
      <c r="AA58" s="2" t="s">
        <v>56</v>
      </c>
      <c r="AB58" s="2">
        <v>9</v>
      </c>
      <c r="AC58" s="2" t="s">
        <v>57</v>
      </c>
      <c r="AD58" s="2">
        <v>0</v>
      </c>
    </row>
    <row r="59" spans="1:30" ht="30" x14ac:dyDescent="0.25">
      <c r="A59" s="2">
        <v>4</v>
      </c>
      <c r="B59" s="2" t="s">
        <v>49</v>
      </c>
      <c r="C59" s="2">
        <v>677</v>
      </c>
      <c r="D59" s="3">
        <v>44369</v>
      </c>
      <c r="E59" s="2" t="s">
        <v>267</v>
      </c>
      <c r="F59" s="2"/>
      <c r="G59" s="2" t="s">
        <v>268</v>
      </c>
      <c r="H59" s="2" t="s">
        <v>104</v>
      </c>
      <c r="I59" s="2" t="s">
        <v>51</v>
      </c>
      <c r="J59" s="3">
        <v>42568</v>
      </c>
      <c r="K59" s="2">
        <v>401</v>
      </c>
      <c r="L59" s="2"/>
      <c r="M59" s="2">
        <v>211</v>
      </c>
      <c r="N59" s="2">
        <v>176</v>
      </c>
      <c r="O59" s="2" t="s">
        <v>6</v>
      </c>
      <c r="P59" s="2" t="s">
        <v>52</v>
      </c>
      <c r="Q59" s="2"/>
      <c r="R59" s="2" t="s">
        <v>53</v>
      </c>
      <c r="S59" s="2">
        <v>8210302201</v>
      </c>
      <c r="T59" s="2" t="s">
        <v>269</v>
      </c>
      <c r="U59" s="2"/>
      <c r="V59" s="2">
        <v>7425880371</v>
      </c>
      <c r="W59" s="2" t="s">
        <v>266</v>
      </c>
      <c r="X59" s="2">
        <v>60000</v>
      </c>
      <c r="Y59" s="2" t="s">
        <v>55</v>
      </c>
      <c r="Z59" s="2" t="s">
        <v>55</v>
      </c>
      <c r="AA59" s="2" t="s">
        <v>56</v>
      </c>
      <c r="AB59" s="2">
        <v>9</v>
      </c>
      <c r="AC59" s="2" t="s">
        <v>57</v>
      </c>
      <c r="AD59" s="2">
        <v>0</v>
      </c>
    </row>
    <row r="60" spans="1:30" ht="30" x14ac:dyDescent="0.25">
      <c r="A60" s="2">
        <v>4</v>
      </c>
      <c r="B60" s="2" t="s">
        <v>49</v>
      </c>
      <c r="C60" s="2">
        <v>684</v>
      </c>
      <c r="D60" s="3">
        <v>44389</v>
      </c>
      <c r="E60" s="2" t="s">
        <v>270</v>
      </c>
      <c r="F60" s="2"/>
      <c r="G60" s="2" t="s">
        <v>144</v>
      </c>
      <c r="H60" s="2" t="s">
        <v>271</v>
      </c>
      <c r="I60" s="2" t="s">
        <v>67</v>
      </c>
      <c r="J60" s="3">
        <v>42368</v>
      </c>
      <c r="K60" s="2">
        <v>405</v>
      </c>
      <c r="L60" s="2"/>
      <c r="M60" s="2">
        <v>211</v>
      </c>
      <c r="N60" s="2">
        <v>180</v>
      </c>
      <c r="O60" s="2" t="s">
        <v>6</v>
      </c>
      <c r="P60" s="2" t="s">
        <v>52</v>
      </c>
      <c r="Q60" s="2"/>
      <c r="R60" s="2" t="s">
        <v>53</v>
      </c>
      <c r="S60" s="2">
        <v>8210302201</v>
      </c>
      <c r="T60" s="2" t="s">
        <v>272</v>
      </c>
      <c r="U60" s="2"/>
      <c r="V60" s="2">
        <v>9950193738</v>
      </c>
      <c r="W60" s="2" t="s">
        <v>266</v>
      </c>
      <c r="X60" s="2">
        <v>60000</v>
      </c>
      <c r="Y60" s="2" t="s">
        <v>55</v>
      </c>
      <c r="Z60" s="2" t="s">
        <v>55</v>
      </c>
      <c r="AA60" s="2" t="s">
        <v>56</v>
      </c>
      <c r="AB60" s="2">
        <v>10</v>
      </c>
      <c r="AC60" s="2" t="s">
        <v>57</v>
      </c>
      <c r="AD60" s="2">
        <v>0</v>
      </c>
    </row>
    <row r="61" spans="1:30" ht="30" x14ac:dyDescent="0.25">
      <c r="A61" s="2">
        <v>4</v>
      </c>
      <c r="B61" s="2" t="s">
        <v>49</v>
      </c>
      <c r="C61" s="2">
        <v>719</v>
      </c>
      <c r="D61" s="3">
        <v>44417</v>
      </c>
      <c r="E61" s="2" t="s">
        <v>156</v>
      </c>
      <c r="F61" s="2"/>
      <c r="G61" s="2" t="s">
        <v>273</v>
      </c>
      <c r="H61" s="2" t="s">
        <v>261</v>
      </c>
      <c r="I61" s="2" t="s">
        <v>67</v>
      </c>
      <c r="J61" s="3">
        <v>42352</v>
      </c>
      <c r="K61" s="2">
        <v>406</v>
      </c>
      <c r="L61" s="2"/>
      <c r="M61" s="2">
        <v>211</v>
      </c>
      <c r="N61" s="2">
        <v>182</v>
      </c>
      <c r="O61" s="2" t="s">
        <v>5</v>
      </c>
      <c r="P61" s="2" t="s">
        <v>52</v>
      </c>
      <c r="Q61" s="2"/>
      <c r="R61" s="2" t="s">
        <v>53</v>
      </c>
      <c r="S61" s="2">
        <v>8210302201</v>
      </c>
      <c r="T61" s="2" t="s">
        <v>274</v>
      </c>
      <c r="U61" s="2"/>
      <c r="V61" s="2">
        <v>9784253973</v>
      </c>
      <c r="W61" s="2" t="s">
        <v>266</v>
      </c>
      <c r="X61" s="2">
        <v>60000</v>
      </c>
      <c r="Y61" s="2" t="s">
        <v>55</v>
      </c>
      <c r="Z61" s="2" t="s">
        <v>55</v>
      </c>
      <c r="AA61" s="2" t="s">
        <v>56</v>
      </c>
      <c r="AB61" s="2">
        <v>10</v>
      </c>
      <c r="AC61" s="2" t="s">
        <v>57</v>
      </c>
      <c r="AD61" s="2">
        <v>0</v>
      </c>
    </row>
    <row r="62" spans="1:30" ht="30" x14ac:dyDescent="0.25">
      <c r="A62" s="2">
        <v>4</v>
      </c>
      <c r="B62" s="2" t="s">
        <v>49</v>
      </c>
      <c r="C62" s="2">
        <v>715</v>
      </c>
      <c r="D62" s="3">
        <v>44412</v>
      </c>
      <c r="E62" s="2" t="s">
        <v>275</v>
      </c>
      <c r="F62" s="2"/>
      <c r="G62" s="2" t="s">
        <v>276</v>
      </c>
      <c r="H62" s="2" t="s">
        <v>277</v>
      </c>
      <c r="I62" s="2" t="s">
        <v>51</v>
      </c>
      <c r="J62" s="3">
        <v>42244</v>
      </c>
      <c r="K62" s="2">
        <v>407</v>
      </c>
      <c r="L62" s="2"/>
      <c r="M62" s="2">
        <v>211</v>
      </c>
      <c r="N62" s="2">
        <v>143</v>
      </c>
      <c r="O62" s="2" t="s">
        <v>4</v>
      </c>
      <c r="P62" s="2" t="s">
        <v>52</v>
      </c>
      <c r="Q62" s="2"/>
      <c r="R62" s="2" t="s">
        <v>53</v>
      </c>
      <c r="S62" s="2">
        <v>8210302201</v>
      </c>
      <c r="T62" s="2" t="s">
        <v>278</v>
      </c>
      <c r="U62" s="2"/>
      <c r="V62" s="2">
        <v>7425816629</v>
      </c>
      <c r="W62" s="2" t="s">
        <v>266</v>
      </c>
      <c r="X62" s="2">
        <v>50000</v>
      </c>
      <c r="Y62" s="2" t="s">
        <v>55</v>
      </c>
      <c r="Z62" s="2" t="s">
        <v>55</v>
      </c>
      <c r="AA62" s="2" t="s">
        <v>56</v>
      </c>
      <c r="AB62" s="2">
        <v>10</v>
      </c>
      <c r="AC62" s="2" t="s">
        <v>57</v>
      </c>
      <c r="AD62" s="2">
        <v>0</v>
      </c>
    </row>
    <row r="63" spans="1:30" ht="30" x14ac:dyDescent="0.25">
      <c r="A63" s="2">
        <v>4</v>
      </c>
      <c r="B63" s="2" t="s">
        <v>49</v>
      </c>
      <c r="C63" s="2">
        <v>835</v>
      </c>
      <c r="D63" s="3">
        <v>45120</v>
      </c>
      <c r="E63" s="2" t="s">
        <v>279</v>
      </c>
      <c r="F63" s="2"/>
      <c r="G63" s="2" t="s">
        <v>115</v>
      </c>
      <c r="H63" s="2" t="s">
        <v>280</v>
      </c>
      <c r="I63" s="2" t="s">
        <v>51</v>
      </c>
      <c r="J63" s="3">
        <v>41064</v>
      </c>
      <c r="K63" s="2">
        <v>408</v>
      </c>
      <c r="L63" s="2"/>
      <c r="M63" s="2">
        <v>211</v>
      </c>
      <c r="N63" s="2">
        <v>175</v>
      </c>
      <c r="O63" s="2" t="s">
        <v>6</v>
      </c>
      <c r="P63" s="2"/>
      <c r="Q63" s="2"/>
      <c r="R63" s="2" t="s">
        <v>53</v>
      </c>
      <c r="S63" s="2">
        <v>8210302201</v>
      </c>
      <c r="T63" s="2" t="s">
        <v>281</v>
      </c>
      <c r="U63" s="2"/>
      <c r="V63" s="2">
        <v>9660845025</v>
      </c>
      <c r="W63" s="2"/>
      <c r="X63" s="2"/>
      <c r="Y63" s="2" t="s">
        <v>55</v>
      </c>
      <c r="Z63" s="2" t="s">
        <v>190</v>
      </c>
      <c r="AA63" s="2"/>
      <c r="AB63" s="2">
        <v>13</v>
      </c>
      <c r="AC63" s="2"/>
      <c r="AD63" s="2">
        <v>0</v>
      </c>
    </row>
    <row r="64" spans="1:30" ht="30" x14ac:dyDescent="0.25">
      <c r="A64" s="2">
        <v>4</v>
      </c>
      <c r="B64" s="2" t="s">
        <v>49</v>
      </c>
      <c r="C64" s="2">
        <v>710</v>
      </c>
      <c r="D64" s="3">
        <v>44407</v>
      </c>
      <c r="E64" s="2" t="s">
        <v>282</v>
      </c>
      <c r="F64" s="2"/>
      <c r="G64" s="2" t="s">
        <v>283</v>
      </c>
      <c r="H64" s="2" t="s">
        <v>284</v>
      </c>
      <c r="I64" s="2" t="s">
        <v>51</v>
      </c>
      <c r="J64" s="3">
        <v>42500</v>
      </c>
      <c r="K64" s="2">
        <v>409</v>
      </c>
      <c r="L64" s="2"/>
      <c r="M64" s="2">
        <v>211</v>
      </c>
      <c r="N64" s="2">
        <v>185</v>
      </c>
      <c r="O64" s="2" t="s">
        <v>4</v>
      </c>
      <c r="P64" s="2" t="s">
        <v>52</v>
      </c>
      <c r="Q64" s="2"/>
      <c r="R64" s="2" t="s">
        <v>53</v>
      </c>
      <c r="S64" s="2">
        <v>8210302201</v>
      </c>
      <c r="T64" s="2" t="s">
        <v>285</v>
      </c>
      <c r="U64" s="2"/>
      <c r="V64" s="2">
        <v>8290679563</v>
      </c>
      <c r="W64" s="2" t="s">
        <v>266</v>
      </c>
      <c r="X64" s="2">
        <v>80000</v>
      </c>
      <c r="Y64" s="2" t="s">
        <v>55</v>
      </c>
      <c r="Z64" s="2" t="s">
        <v>55</v>
      </c>
      <c r="AA64" s="2" t="s">
        <v>56</v>
      </c>
      <c r="AB64" s="2">
        <v>9</v>
      </c>
      <c r="AC64" s="2" t="s">
        <v>57</v>
      </c>
      <c r="AD64" s="2">
        <v>0</v>
      </c>
    </row>
    <row r="65" spans="1:30" ht="30" x14ac:dyDescent="0.25">
      <c r="A65" s="2">
        <v>4</v>
      </c>
      <c r="B65" s="2" t="s">
        <v>49</v>
      </c>
      <c r="C65" s="2">
        <v>702</v>
      </c>
      <c r="D65" s="3">
        <v>44399</v>
      </c>
      <c r="E65" s="2" t="s">
        <v>286</v>
      </c>
      <c r="F65" s="2"/>
      <c r="G65" s="2" t="s">
        <v>287</v>
      </c>
      <c r="H65" s="2" t="s">
        <v>288</v>
      </c>
      <c r="I65" s="2" t="s">
        <v>51</v>
      </c>
      <c r="J65" s="3">
        <v>41275</v>
      </c>
      <c r="K65" s="2">
        <v>410</v>
      </c>
      <c r="L65" s="2"/>
      <c r="M65" s="2">
        <v>211</v>
      </c>
      <c r="N65" s="2">
        <v>162</v>
      </c>
      <c r="O65" s="2" t="s">
        <v>5</v>
      </c>
      <c r="P65" s="2" t="s">
        <v>52</v>
      </c>
      <c r="Q65" s="2"/>
      <c r="R65" s="2" t="s">
        <v>53</v>
      </c>
      <c r="S65" s="2">
        <v>8210302201</v>
      </c>
      <c r="T65" s="2" t="s">
        <v>289</v>
      </c>
      <c r="U65" s="2"/>
      <c r="V65" s="2">
        <v>9001595086</v>
      </c>
      <c r="W65" s="2" t="s">
        <v>266</v>
      </c>
      <c r="X65" s="2">
        <v>60000</v>
      </c>
      <c r="Y65" s="2" t="s">
        <v>55</v>
      </c>
      <c r="Z65" s="2" t="s">
        <v>55</v>
      </c>
      <c r="AA65" s="2" t="s">
        <v>56</v>
      </c>
      <c r="AB65" s="2">
        <v>12</v>
      </c>
      <c r="AC65" s="2" t="s">
        <v>57</v>
      </c>
      <c r="AD65" s="2">
        <v>0</v>
      </c>
    </row>
    <row r="66" spans="1:30" ht="30" x14ac:dyDescent="0.25">
      <c r="A66" s="2">
        <v>4</v>
      </c>
      <c r="B66" s="2" t="s">
        <v>49</v>
      </c>
      <c r="C66" s="2">
        <v>690</v>
      </c>
      <c r="D66" s="3">
        <v>44391</v>
      </c>
      <c r="E66" s="2" t="s">
        <v>290</v>
      </c>
      <c r="F66" s="2"/>
      <c r="G66" s="2" t="s">
        <v>291</v>
      </c>
      <c r="H66" s="2" t="s">
        <v>292</v>
      </c>
      <c r="I66" s="2" t="s">
        <v>51</v>
      </c>
      <c r="J66" s="3">
        <v>42402</v>
      </c>
      <c r="K66" s="2">
        <v>411</v>
      </c>
      <c r="L66" s="2"/>
      <c r="M66" s="2">
        <v>211</v>
      </c>
      <c r="N66" s="2">
        <v>184</v>
      </c>
      <c r="O66" s="2" t="s">
        <v>6</v>
      </c>
      <c r="P66" s="2" t="s">
        <v>52</v>
      </c>
      <c r="Q66" s="2"/>
      <c r="R66" s="2" t="s">
        <v>53</v>
      </c>
      <c r="S66" s="2">
        <v>8210302201</v>
      </c>
      <c r="T66" s="2" t="s">
        <v>293</v>
      </c>
      <c r="U66" s="2"/>
      <c r="V66" s="2">
        <v>9928429376</v>
      </c>
      <c r="W66" s="2" t="s">
        <v>266</v>
      </c>
      <c r="X66" s="2">
        <v>60000</v>
      </c>
      <c r="Y66" s="2" t="s">
        <v>55</v>
      </c>
      <c r="Z66" s="2" t="s">
        <v>55</v>
      </c>
      <c r="AA66" s="2" t="s">
        <v>56</v>
      </c>
      <c r="AB66" s="2">
        <v>9</v>
      </c>
      <c r="AC66" s="2" t="s">
        <v>57</v>
      </c>
      <c r="AD66" s="2">
        <v>0</v>
      </c>
    </row>
    <row r="67" spans="1:30" ht="30" x14ac:dyDescent="0.25">
      <c r="A67" s="2">
        <v>4</v>
      </c>
      <c r="B67" s="2" t="s">
        <v>49</v>
      </c>
      <c r="C67" s="2">
        <v>735</v>
      </c>
      <c r="D67" s="3">
        <v>44466</v>
      </c>
      <c r="E67" s="2" t="s">
        <v>294</v>
      </c>
      <c r="F67" s="2"/>
      <c r="G67" s="2" t="s">
        <v>295</v>
      </c>
      <c r="H67" s="2" t="s">
        <v>296</v>
      </c>
      <c r="I67" s="2" t="s">
        <v>51</v>
      </c>
      <c r="J67" s="3">
        <v>42290</v>
      </c>
      <c r="K67" s="2">
        <v>412</v>
      </c>
      <c r="L67" s="2"/>
      <c r="M67" s="2">
        <v>211</v>
      </c>
      <c r="N67" s="2">
        <v>185</v>
      </c>
      <c r="O67" s="2" t="s">
        <v>6</v>
      </c>
      <c r="P67" s="2"/>
      <c r="Q67" s="2"/>
      <c r="R67" s="2" t="s">
        <v>53</v>
      </c>
      <c r="S67" s="2">
        <v>8210302201</v>
      </c>
      <c r="T67" s="2" t="s">
        <v>297</v>
      </c>
      <c r="U67" s="2"/>
      <c r="V67" s="2">
        <v>9636679739</v>
      </c>
      <c r="W67" s="2" t="s">
        <v>201</v>
      </c>
      <c r="X67" s="2">
        <v>80000</v>
      </c>
      <c r="Y67" s="2" t="s">
        <v>55</v>
      </c>
      <c r="Z67" s="2" t="s">
        <v>55</v>
      </c>
      <c r="AA67" s="2"/>
      <c r="AB67" s="2">
        <v>10</v>
      </c>
      <c r="AC67" s="2" t="s">
        <v>57</v>
      </c>
      <c r="AD67" s="2">
        <v>0</v>
      </c>
    </row>
    <row r="68" spans="1:30" ht="30" x14ac:dyDescent="0.25">
      <c r="A68" s="2">
        <v>4</v>
      </c>
      <c r="B68" s="2" t="s">
        <v>49</v>
      </c>
      <c r="C68" s="2">
        <v>606</v>
      </c>
      <c r="D68" s="3">
        <v>44027</v>
      </c>
      <c r="E68" s="2" t="s">
        <v>298</v>
      </c>
      <c r="F68" s="2"/>
      <c r="G68" s="2" t="s">
        <v>161</v>
      </c>
      <c r="H68" s="2" t="s">
        <v>97</v>
      </c>
      <c r="I68" s="2" t="s">
        <v>51</v>
      </c>
      <c r="J68" s="3">
        <v>41975</v>
      </c>
      <c r="K68" s="2">
        <v>413</v>
      </c>
      <c r="L68" s="2"/>
      <c r="M68" s="2">
        <v>211</v>
      </c>
      <c r="N68" s="2">
        <v>186</v>
      </c>
      <c r="O68" s="2" t="s">
        <v>6</v>
      </c>
      <c r="P68" s="2" t="s">
        <v>52</v>
      </c>
      <c r="Q68" s="2"/>
      <c r="R68" s="2" t="s">
        <v>53</v>
      </c>
      <c r="S68" s="2">
        <v>8210302201</v>
      </c>
      <c r="T68" s="2" t="s">
        <v>299</v>
      </c>
      <c r="U68" s="2"/>
      <c r="V68" s="2">
        <v>9680248530</v>
      </c>
      <c r="W68" s="2" t="s">
        <v>214</v>
      </c>
      <c r="X68" s="2">
        <v>50000</v>
      </c>
      <c r="Y68" s="2" t="s">
        <v>55</v>
      </c>
      <c r="Z68" s="2" t="s">
        <v>55</v>
      </c>
      <c r="AA68" s="2" t="s">
        <v>56</v>
      </c>
      <c r="AB68" s="2">
        <v>11</v>
      </c>
      <c r="AC68" s="2" t="s">
        <v>57</v>
      </c>
      <c r="AD68" s="2">
        <v>0</v>
      </c>
    </row>
    <row r="69" spans="1:30" ht="30" x14ac:dyDescent="0.25">
      <c r="A69" s="2">
        <v>4</v>
      </c>
      <c r="B69" s="2" t="s">
        <v>49</v>
      </c>
      <c r="C69" s="2">
        <v>676</v>
      </c>
      <c r="D69" s="3">
        <v>44369</v>
      </c>
      <c r="E69" s="2" t="s">
        <v>300</v>
      </c>
      <c r="F69" s="2"/>
      <c r="G69" s="2" t="s">
        <v>301</v>
      </c>
      <c r="H69" s="2" t="s">
        <v>302</v>
      </c>
      <c r="I69" s="2" t="s">
        <v>67</v>
      </c>
      <c r="J69" s="3">
        <v>41653</v>
      </c>
      <c r="K69" s="2">
        <v>414</v>
      </c>
      <c r="L69" s="2"/>
      <c r="M69" s="2">
        <v>211</v>
      </c>
      <c r="N69" s="2">
        <v>177</v>
      </c>
      <c r="O69" s="2" t="s">
        <v>6</v>
      </c>
      <c r="P69" s="2" t="s">
        <v>52</v>
      </c>
      <c r="Q69" s="2"/>
      <c r="R69" s="2" t="s">
        <v>53</v>
      </c>
      <c r="S69" s="2">
        <v>8210302201</v>
      </c>
      <c r="T69" s="2" t="s">
        <v>303</v>
      </c>
      <c r="U69" s="2"/>
      <c r="V69" s="2">
        <v>7426021076</v>
      </c>
      <c r="W69" s="2" t="s">
        <v>266</v>
      </c>
      <c r="X69" s="2">
        <v>60000</v>
      </c>
      <c r="Y69" s="2" t="s">
        <v>55</v>
      </c>
      <c r="Z69" s="2" t="s">
        <v>55</v>
      </c>
      <c r="AA69" s="2" t="s">
        <v>56</v>
      </c>
      <c r="AB69" s="2">
        <v>11</v>
      </c>
      <c r="AC69" s="2" t="s">
        <v>57</v>
      </c>
      <c r="AD69" s="2">
        <v>0</v>
      </c>
    </row>
    <row r="70" spans="1:30" ht="30" x14ac:dyDescent="0.25">
      <c r="A70" s="2">
        <v>4</v>
      </c>
      <c r="B70" s="2" t="s">
        <v>49</v>
      </c>
      <c r="C70" s="2">
        <v>726</v>
      </c>
      <c r="D70" s="3">
        <v>44431</v>
      </c>
      <c r="E70" s="2" t="s">
        <v>304</v>
      </c>
      <c r="F70" s="2"/>
      <c r="G70" s="2" t="s">
        <v>238</v>
      </c>
      <c r="H70" s="2" t="s">
        <v>135</v>
      </c>
      <c r="I70" s="2" t="s">
        <v>67</v>
      </c>
      <c r="J70" s="3">
        <v>42152</v>
      </c>
      <c r="K70" s="2">
        <v>416</v>
      </c>
      <c r="L70" s="2"/>
      <c r="M70" s="2">
        <v>211</v>
      </c>
      <c r="N70" s="2">
        <v>171</v>
      </c>
      <c r="O70" s="2" t="s">
        <v>6</v>
      </c>
      <c r="P70" s="2"/>
      <c r="Q70" s="2"/>
      <c r="R70" s="2" t="s">
        <v>53</v>
      </c>
      <c r="S70" s="2">
        <v>8210302201</v>
      </c>
      <c r="T70" s="2" t="s">
        <v>305</v>
      </c>
      <c r="U70" s="2"/>
      <c r="V70" s="2">
        <v>9571479136</v>
      </c>
      <c r="W70" s="2" t="s">
        <v>201</v>
      </c>
      <c r="X70" s="2">
        <v>80000</v>
      </c>
      <c r="Y70" s="2" t="s">
        <v>55</v>
      </c>
      <c r="Z70" s="2" t="s">
        <v>55</v>
      </c>
      <c r="AA70" s="2"/>
      <c r="AB70" s="2">
        <v>10</v>
      </c>
      <c r="AC70" s="2" t="s">
        <v>57</v>
      </c>
      <c r="AD70" s="2">
        <v>0</v>
      </c>
    </row>
    <row r="71" spans="1:30" ht="30" x14ac:dyDescent="0.25">
      <c r="A71" s="2">
        <v>4</v>
      </c>
      <c r="B71" s="2" t="s">
        <v>49</v>
      </c>
      <c r="C71" s="2">
        <v>752</v>
      </c>
      <c r="D71" s="3">
        <v>44533</v>
      </c>
      <c r="E71" s="2" t="s">
        <v>306</v>
      </c>
      <c r="F71" s="2"/>
      <c r="G71" s="2" t="s">
        <v>144</v>
      </c>
      <c r="H71" s="2" t="s">
        <v>307</v>
      </c>
      <c r="I71" s="2" t="s">
        <v>67</v>
      </c>
      <c r="J71" s="3">
        <v>42452</v>
      </c>
      <c r="K71" s="2">
        <v>417</v>
      </c>
      <c r="L71" s="2"/>
      <c r="M71" s="2">
        <v>211</v>
      </c>
      <c r="N71" s="2">
        <v>135</v>
      </c>
      <c r="O71" s="2" t="s">
        <v>6</v>
      </c>
      <c r="P71" s="2"/>
      <c r="Q71" s="2"/>
      <c r="R71" s="2" t="s">
        <v>53</v>
      </c>
      <c r="S71" s="2">
        <v>8210302201</v>
      </c>
      <c r="T71" s="2"/>
      <c r="U71" s="2"/>
      <c r="V71" s="2">
        <v>9799386984</v>
      </c>
      <c r="W71" s="2"/>
      <c r="X71" s="2"/>
      <c r="Y71" s="2" t="s">
        <v>55</v>
      </c>
      <c r="Z71" s="2" t="s">
        <v>55</v>
      </c>
      <c r="AA71" s="2"/>
      <c r="AB71" s="2">
        <v>9</v>
      </c>
      <c r="AC71" s="2" t="s">
        <v>57</v>
      </c>
      <c r="AD71" s="2">
        <v>0</v>
      </c>
    </row>
    <row r="72" spans="1:30" ht="30" x14ac:dyDescent="0.25">
      <c r="A72" s="2">
        <v>4</v>
      </c>
      <c r="B72" s="2" t="s">
        <v>49</v>
      </c>
      <c r="C72" s="2">
        <v>722</v>
      </c>
      <c r="D72" s="3">
        <v>44421</v>
      </c>
      <c r="E72" s="2" t="s">
        <v>308</v>
      </c>
      <c r="F72" s="2"/>
      <c r="G72" s="2" t="s">
        <v>309</v>
      </c>
      <c r="H72" s="2" t="s">
        <v>310</v>
      </c>
      <c r="I72" s="2" t="s">
        <v>51</v>
      </c>
      <c r="J72" s="3">
        <v>42510</v>
      </c>
      <c r="K72" s="2">
        <v>418</v>
      </c>
      <c r="L72" s="2"/>
      <c r="M72" s="2">
        <v>211</v>
      </c>
      <c r="N72" s="2">
        <v>186</v>
      </c>
      <c r="O72" s="2" t="s">
        <v>6</v>
      </c>
      <c r="P72" s="2"/>
      <c r="Q72" s="2"/>
      <c r="R72" s="2" t="s">
        <v>53</v>
      </c>
      <c r="S72" s="2">
        <v>8210302201</v>
      </c>
      <c r="T72" s="2" t="s">
        <v>311</v>
      </c>
      <c r="U72" s="2"/>
      <c r="V72" s="2">
        <v>9001235868</v>
      </c>
      <c r="W72" s="2" t="s">
        <v>201</v>
      </c>
      <c r="X72" s="2">
        <v>60000</v>
      </c>
      <c r="Y72" s="2" t="s">
        <v>55</v>
      </c>
      <c r="Z72" s="2" t="s">
        <v>55</v>
      </c>
      <c r="AA72" s="2"/>
      <c r="AB72" s="2">
        <v>9</v>
      </c>
      <c r="AC72" s="2" t="s">
        <v>57</v>
      </c>
      <c r="AD72" s="2">
        <v>0</v>
      </c>
    </row>
    <row r="73" spans="1:30" ht="30" x14ac:dyDescent="0.25">
      <c r="A73" s="2">
        <v>4</v>
      </c>
      <c r="B73" s="2" t="s">
        <v>49</v>
      </c>
      <c r="C73" s="2">
        <v>731</v>
      </c>
      <c r="D73" s="3">
        <v>44462</v>
      </c>
      <c r="E73" s="2" t="s">
        <v>312</v>
      </c>
      <c r="F73" s="2"/>
      <c r="G73" s="2" t="s">
        <v>313</v>
      </c>
      <c r="H73" s="2" t="s">
        <v>314</v>
      </c>
      <c r="I73" s="2" t="s">
        <v>67</v>
      </c>
      <c r="J73" s="3">
        <v>42552</v>
      </c>
      <c r="K73" s="2">
        <v>419</v>
      </c>
      <c r="L73" s="2"/>
      <c r="M73" s="2">
        <v>211</v>
      </c>
      <c r="N73" s="2">
        <v>184</v>
      </c>
      <c r="O73" s="2" t="s">
        <v>6</v>
      </c>
      <c r="P73" s="2"/>
      <c r="Q73" s="2"/>
      <c r="R73" s="2" t="s">
        <v>53</v>
      </c>
      <c r="S73" s="2">
        <v>8210302201</v>
      </c>
      <c r="T73" s="2" t="s">
        <v>315</v>
      </c>
      <c r="U73" s="2"/>
      <c r="V73" s="2">
        <v>9660060739</v>
      </c>
      <c r="W73" s="2" t="s">
        <v>201</v>
      </c>
      <c r="X73" s="2">
        <v>60000</v>
      </c>
      <c r="Y73" s="2" t="s">
        <v>55</v>
      </c>
      <c r="Z73" s="2" t="s">
        <v>55</v>
      </c>
      <c r="AA73" s="2"/>
      <c r="AB73" s="2">
        <v>9</v>
      </c>
      <c r="AC73" s="2" t="s">
        <v>57</v>
      </c>
      <c r="AD73" s="2">
        <v>0</v>
      </c>
    </row>
    <row r="74" spans="1:30" ht="30" x14ac:dyDescent="0.25">
      <c r="A74" s="2">
        <v>4</v>
      </c>
      <c r="B74" s="2" t="s">
        <v>49</v>
      </c>
      <c r="C74" s="2">
        <v>713</v>
      </c>
      <c r="D74" s="3">
        <v>44410</v>
      </c>
      <c r="E74" s="2" t="s">
        <v>316</v>
      </c>
      <c r="F74" s="2"/>
      <c r="G74" s="2" t="s">
        <v>253</v>
      </c>
      <c r="H74" s="2" t="s">
        <v>254</v>
      </c>
      <c r="I74" s="2" t="s">
        <v>67</v>
      </c>
      <c r="J74" s="3">
        <v>41384</v>
      </c>
      <c r="K74" s="2">
        <v>422</v>
      </c>
      <c r="L74" s="2"/>
      <c r="M74" s="2">
        <v>211</v>
      </c>
      <c r="N74" s="2">
        <v>188</v>
      </c>
      <c r="O74" s="2" t="s">
        <v>4</v>
      </c>
      <c r="P74" s="2" t="s">
        <v>52</v>
      </c>
      <c r="Q74" s="2"/>
      <c r="R74" s="2" t="s">
        <v>53</v>
      </c>
      <c r="S74" s="2">
        <v>8210302201</v>
      </c>
      <c r="T74" s="2" t="s">
        <v>317</v>
      </c>
      <c r="U74" s="2"/>
      <c r="V74" s="2">
        <v>9588942595</v>
      </c>
      <c r="W74" s="2" t="s">
        <v>266</v>
      </c>
      <c r="X74" s="2">
        <v>60000</v>
      </c>
      <c r="Y74" s="2" t="s">
        <v>55</v>
      </c>
      <c r="Z74" s="2" t="s">
        <v>55</v>
      </c>
      <c r="AA74" s="2" t="s">
        <v>56</v>
      </c>
      <c r="AB74" s="2">
        <v>12</v>
      </c>
      <c r="AC74" s="2" t="s">
        <v>57</v>
      </c>
      <c r="AD74" s="2">
        <v>0</v>
      </c>
    </row>
    <row r="75" spans="1:30" ht="30" x14ac:dyDescent="0.25">
      <c r="A75" s="2">
        <v>4</v>
      </c>
      <c r="B75" s="2" t="s">
        <v>49</v>
      </c>
      <c r="C75" s="2">
        <v>685</v>
      </c>
      <c r="D75" s="3">
        <v>44389</v>
      </c>
      <c r="E75" s="2" t="s">
        <v>318</v>
      </c>
      <c r="F75" s="2"/>
      <c r="G75" s="2" t="s">
        <v>319</v>
      </c>
      <c r="H75" s="2" t="s">
        <v>320</v>
      </c>
      <c r="I75" s="2" t="s">
        <v>67</v>
      </c>
      <c r="J75" s="3">
        <v>42246</v>
      </c>
      <c r="K75" s="2">
        <v>423</v>
      </c>
      <c r="L75" s="2"/>
      <c r="M75" s="2">
        <v>211</v>
      </c>
      <c r="N75" s="2">
        <v>186</v>
      </c>
      <c r="O75" s="2" t="s">
        <v>6</v>
      </c>
      <c r="P75" s="2" t="s">
        <v>52</v>
      </c>
      <c r="Q75" s="2"/>
      <c r="R75" s="2" t="s">
        <v>53</v>
      </c>
      <c r="S75" s="2">
        <v>8210302201</v>
      </c>
      <c r="T75" s="2" t="s">
        <v>321</v>
      </c>
      <c r="U75" s="2"/>
      <c r="V75" s="2">
        <v>9950193738</v>
      </c>
      <c r="W75" s="2" t="s">
        <v>322</v>
      </c>
      <c r="X75" s="2">
        <v>60000</v>
      </c>
      <c r="Y75" s="2" t="s">
        <v>55</v>
      </c>
      <c r="Z75" s="2" t="s">
        <v>55</v>
      </c>
      <c r="AA75" s="2" t="s">
        <v>56</v>
      </c>
      <c r="AB75" s="2">
        <v>10</v>
      </c>
      <c r="AC75" s="2" t="s">
        <v>57</v>
      </c>
      <c r="AD75" s="2">
        <v>1</v>
      </c>
    </row>
    <row r="76" spans="1:30" ht="30" x14ac:dyDescent="0.25">
      <c r="A76" s="2">
        <v>4</v>
      </c>
      <c r="B76" s="2" t="s">
        <v>49</v>
      </c>
      <c r="C76" s="2">
        <v>739</v>
      </c>
      <c r="D76" s="3">
        <v>44466</v>
      </c>
      <c r="E76" s="2" t="s">
        <v>323</v>
      </c>
      <c r="F76" s="2"/>
      <c r="G76" s="2" t="s">
        <v>324</v>
      </c>
      <c r="H76" s="2" t="s">
        <v>325</v>
      </c>
      <c r="I76" s="2" t="s">
        <v>51</v>
      </c>
      <c r="J76" s="3">
        <v>42124</v>
      </c>
      <c r="K76" s="2">
        <v>424</v>
      </c>
      <c r="L76" s="2"/>
      <c r="M76" s="2">
        <v>211</v>
      </c>
      <c r="N76" s="2">
        <v>187</v>
      </c>
      <c r="O76" s="2" t="s">
        <v>6</v>
      </c>
      <c r="P76" s="2"/>
      <c r="Q76" s="2"/>
      <c r="R76" s="2" t="s">
        <v>53</v>
      </c>
      <c r="S76" s="2">
        <v>8210302201</v>
      </c>
      <c r="T76" s="2" t="s">
        <v>326</v>
      </c>
      <c r="U76" s="2"/>
      <c r="V76" s="2">
        <v>9999999999</v>
      </c>
      <c r="W76" s="2" t="s">
        <v>201</v>
      </c>
      <c r="X76" s="2">
        <v>80000</v>
      </c>
      <c r="Y76" s="2" t="s">
        <v>55</v>
      </c>
      <c r="Z76" s="2" t="s">
        <v>55</v>
      </c>
      <c r="AA76" s="2"/>
      <c r="AB76" s="2">
        <v>10</v>
      </c>
      <c r="AC76" s="2" t="s">
        <v>57</v>
      </c>
      <c r="AD76" s="2">
        <v>0</v>
      </c>
    </row>
    <row r="77" spans="1:30" ht="30" x14ac:dyDescent="0.25">
      <c r="A77" s="2">
        <v>4</v>
      </c>
      <c r="B77" s="2" t="s">
        <v>49</v>
      </c>
      <c r="C77" s="2">
        <v>746</v>
      </c>
      <c r="D77" s="3">
        <v>44491</v>
      </c>
      <c r="E77" s="2" t="s">
        <v>121</v>
      </c>
      <c r="F77" s="2"/>
      <c r="G77" s="2" t="s">
        <v>327</v>
      </c>
      <c r="H77" s="2" t="s">
        <v>328</v>
      </c>
      <c r="I77" s="2" t="s">
        <v>51</v>
      </c>
      <c r="J77" s="3">
        <v>42342</v>
      </c>
      <c r="K77" s="2">
        <v>425</v>
      </c>
      <c r="L77" s="2"/>
      <c r="M77" s="2">
        <v>211</v>
      </c>
      <c r="N77" s="2">
        <v>186</v>
      </c>
      <c r="O77" s="2" t="s">
        <v>6</v>
      </c>
      <c r="P77" s="2"/>
      <c r="Q77" s="2"/>
      <c r="R77" s="2" t="s">
        <v>53</v>
      </c>
      <c r="S77" s="2">
        <v>8210302201</v>
      </c>
      <c r="T77" s="2"/>
      <c r="U77" s="2"/>
      <c r="V77" s="2">
        <v>9928563319</v>
      </c>
      <c r="W77" s="2" t="s">
        <v>329</v>
      </c>
      <c r="X77" s="2">
        <v>80000</v>
      </c>
      <c r="Y77" s="2" t="s">
        <v>55</v>
      </c>
      <c r="Z77" s="2" t="s">
        <v>55</v>
      </c>
      <c r="AA77" s="2"/>
      <c r="AB77" s="2">
        <v>10</v>
      </c>
      <c r="AC77" s="2" t="s">
        <v>57</v>
      </c>
      <c r="AD77" s="2">
        <v>0</v>
      </c>
    </row>
    <row r="78" spans="1:30" ht="30" x14ac:dyDescent="0.25">
      <c r="A78" s="2">
        <v>4</v>
      </c>
      <c r="B78" s="2" t="s">
        <v>49</v>
      </c>
      <c r="C78" s="2">
        <v>712</v>
      </c>
      <c r="D78" s="3">
        <v>44410</v>
      </c>
      <c r="E78" s="2" t="s">
        <v>330</v>
      </c>
      <c r="F78" s="2"/>
      <c r="G78" s="2" t="s">
        <v>331</v>
      </c>
      <c r="H78" s="2" t="s">
        <v>332</v>
      </c>
      <c r="I78" s="2" t="s">
        <v>67</v>
      </c>
      <c r="J78" s="3">
        <v>42456</v>
      </c>
      <c r="K78" s="2">
        <v>426</v>
      </c>
      <c r="L78" s="2"/>
      <c r="M78" s="2">
        <v>211</v>
      </c>
      <c r="N78" s="2">
        <v>188</v>
      </c>
      <c r="O78" s="2" t="s">
        <v>6</v>
      </c>
      <c r="P78" s="2" t="s">
        <v>52</v>
      </c>
      <c r="Q78" s="2"/>
      <c r="R78" s="2" t="s">
        <v>53</v>
      </c>
      <c r="S78" s="2">
        <v>8210302201</v>
      </c>
      <c r="T78" s="2" t="s">
        <v>333</v>
      </c>
      <c r="U78" s="2"/>
      <c r="V78" s="2">
        <v>9784173477</v>
      </c>
      <c r="W78" s="2" t="s">
        <v>266</v>
      </c>
      <c r="X78" s="2">
        <v>80000</v>
      </c>
      <c r="Y78" s="2" t="s">
        <v>55</v>
      </c>
      <c r="Z78" s="2" t="s">
        <v>55</v>
      </c>
      <c r="AA78" s="2" t="s">
        <v>56</v>
      </c>
      <c r="AB78" s="2">
        <v>9</v>
      </c>
      <c r="AC78" s="2" t="s">
        <v>57</v>
      </c>
      <c r="AD78" s="2">
        <v>0</v>
      </c>
    </row>
    <row r="79" spans="1:30" ht="30" x14ac:dyDescent="0.25">
      <c r="A79" s="2">
        <v>4</v>
      </c>
      <c r="B79" s="2" t="s">
        <v>49</v>
      </c>
      <c r="C79" s="2">
        <v>750</v>
      </c>
      <c r="D79" s="3">
        <v>44553</v>
      </c>
      <c r="E79" s="2" t="s">
        <v>334</v>
      </c>
      <c r="F79" s="2"/>
      <c r="G79" s="2" t="s">
        <v>65</v>
      </c>
      <c r="H79" s="2" t="s">
        <v>335</v>
      </c>
      <c r="I79" s="2" t="s">
        <v>51</v>
      </c>
      <c r="J79" s="3">
        <v>42288</v>
      </c>
      <c r="K79" s="2">
        <v>427</v>
      </c>
      <c r="L79" s="2"/>
      <c r="M79" s="2">
        <v>211</v>
      </c>
      <c r="N79" s="2">
        <v>185</v>
      </c>
      <c r="O79" s="2" t="s">
        <v>6</v>
      </c>
      <c r="P79" s="2"/>
      <c r="Q79" s="2"/>
      <c r="R79" s="2" t="s">
        <v>53</v>
      </c>
      <c r="S79" s="2">
        <v>8210302201</v>
      </c>
      <c r="T79" s="2"/>
      <c r="U79" s="2"/>
      <c r="V79" s="2">
        <v>8890861312</v>
      </c>
      <c r="W79" s="2"/>
      <c r="X79" s="2"/>
      <c r="Y79" s="2" t="s">
        <v>55</v>
      </c>
      <c r="Z79" s="2" t="s">
        <v>55</v>
      </c>
      <c r="AA79" s="2"/>
      <c r="AB79" s="2">
        <v>10</v>
      </c>
      <c r="AC79" s="2" t="s">
        <v>57</v>
      </c>
      <c r="AD79" s="2">
        <v>0</v>
      </c>
    </row>
    <row r="80" spans="1:30" ht="30" x14ac:dyDescent="0.25">
      <c r="A80" s="2">
        <v>4</v>
      </c>
      <c r="B80" s="2" t="s">
        <v>49</v>
      </c>
      <c r="C80" s="2">
        <v>705</v>
      </c>
      <c r="D80" s="3">
        <v>44400</v>
      </c>
      <c r="E80" s="2" t="s">
        <v>336</v>
      </c>
      <c r="F80" s="2"/>
      <c r="G80" s="2" t="s">
        <v>337</v>
      </c>
      <c r="H80" s="2" t="s">
        <v>338</v>
      </c>
      <c r="I80" s="2" t="s">
        <v>67</v>
      </c>
      <c r="J80" s="3">
        <v>42199</v>
      </c>
      <c r="K80" s="2">
        <v>428</v>
      </c>
      <c r="L80" s="2"/>
      <c r="M80" s="2">
        <v>211</v>
      </c>
      <c r="N80" s="2">
        <v>180</v>
      </c>
      <c r="O80" s="2" t="s">
        <v>4</v>
      </c>
      <c r="P80" s="2" t="s">
        <v>52</v>
      </c>
      <c r="Q80" s="2"/>
      <c r="R80" s="2" t="s">
        <v>53</v>
      </c>
      <c r="S80" s="2">
        <v>8210302201</v>
      </c>
      <c r="T80" s="2" t="s">
        <v>339</v>
      </c>
      <c r="U80" s="2"/>
      <c r="V80" s="2">
        <v>7725905089</v>
      </c>
      <c r="W80" s="2" t="s">
        <v>266</v>
      </c>
      <c r="X80" s="2">
        <v>62000</v>
      </c>
      <c r="Y80" s="2" t="s">
        <v>55</v>
      </c>
      <c r="Z80" s="2" t="s">
        <v>55</v>
      </c>
      <c r="AA80" s="2" t="s">
        <v>56</v>
      </c>
      <c r="AB80" s="2">
        <v>10</v>
      </c>
      <c r="AC80" s="2" t="s">
        <v>57</v>
      </c>
      <c r="AD80" s="2">
        <v>0</v>
      </c>
    </row>
    <row r="81" spans="1:30" ht="30" x14ac:dyDescent="0.25">
      <c r="A81" s="2">
        <v>4</v>
      </c>
      <c r="B81" s="2" t="s">
        <v>49</v>
      </c>
      <c r="C81" s="2">
        <v>732</v>
      </c>
      <c r="D81" s="3">
        <v>44462</v>
      </c>
      <c r="E81" s="2" t="s">
        <v>340</v>
      </c>
      <c r="F81" s="2"/>
      <c r="G81" s="2" t="s">
        <v>341</v>
      </c>
      <c r="H81" s="2" t="s">
        <v>342</v>
      </c>
      <c r="I81" s="2" t="s">
        <v>67</v>
      </c>
      <c r="J81" s="3">
        <v>42475</v>
      </c>
      <c r="K81" s="2">
        <v>429</v>
      </c>
      <c r="L81" s="2"/>
      <c r="M81" s="2">
        <v>211</v>
      </c>
      <c r="N81" s="2">
        <v>187</v>
      </c>
      <c r="O81" s="2" t="s">
        <v>6</v>
      </c>
      <c r="P81" s="2"/>
      <c r="Q81" s="2"/>
      <c r="R81" s="2" t="s">
        <v>53</v>
      </c>
      <c r="S81" s="2">
        <v>8210302201</v>
      </c>
      <c r="T81" s="2" t="s">
        <v>343</v>
      </c>
      <c r="U81" s="2"/>
      <c r="V81" s="2">
        <v>9784038172</v>
      </c>
      <c r="W81" s="2" t="s">
        <v>201</v>
      </c>
      <c r="X81" s="2">
        <v>58000</v>
      </c>
      <c r="Y81" s="2" t="s">
        <v>55</v>
      </c>
      <c r="Z81" s="2" t="s">
        <v>55</v>
      </c>
      <c r="AA81" s="2"/>
      <c r="AB81" s="2">
        <v>9</v>
      </c>
      <c r="AC81" s="2" t="s">
        <v>57</v>
      </c>
      <c r="AD81" s="2">
        <v>0</v>
      </c>
    </row>
    <row r="82" spans="1:30" ht="30" x14ac:dyDescent="0.25">
      <c r="A82" s="2">
        <v>4</v>
      </c>
      <c r="B82" s="2" t="s">
        <v>49</v>
      </c>
      <c r="C82" s="2">
        <v>633</v>
      </c>
      <c r="D82" s="3">
        <v>44057</v>
      </c>
      <c r="E82" s="2" t="s">
        <v>344</v>
      </c>
      <c r="F82" s="2"/>
      <c r="G82" s="2" t="s">
        <v>83</v>
      </c>
      <c r="H82" s="2" t="s">
        <v>84</v>
      </c>
      <c r="I82" s="2" t="s">
        <v>67</v>
      </c>
      <c r="J82" s="3">
        <v>42005</v>
      </c>
      <c r="K82" s="2">
        <v>430</v>
      </c>
      <c r="L82" s="2"/>
      <c r="M82" s="2">
        <v>211</v>
      </c>
      <c r="N82" s="2">
        <v>186</v>
      </c>
      <c r="O82" s="2" t="s">
        <v>6</v>
      </c>
      <c r="P82" s="2" t="s">
        <v>52</v>
      </c>
      <c r="Q82" s="2"/>
      <c r="R82" s="2" t="s">
        <v>53</v>
      </c>
      <c r="S82" s="2">
        <v>8210302201</v>
      </c>
      <c r="T82" s="2" t="s">
        <v>345</v>
      </c>
      <c r="U82" s="2"/>
      <c r="V82" s="2">
        <v>9829116673</v>
      </c>
      <c r="W82" s="2" t="s">
        <v>214</v>
      </c>
      <c r="X82" s="2">
        <v>50000</v>
      </c>
      <c r="Y82" s="2" t="s">
        <v>55</v>
      </c>
      <c r="Z82" s="2" t="s">
        <v>55</v>
      </c>
      <c r="AA82" s="2" t="s">
        <v>56</v>
      </c>
      <c r="AB82" s="2">
        <v>10</v>
      </c>
      <c r="AC82" s="2" t="s">
        <v>57</v>
      </c>
      <c r="AD82" s="2">
        <v>0</v>
      </c>
    </row>
    <row r="83" spans="1:30" ht="30" x14ac:dyDescent="0.25">
      <c r="A83" s="2">
        <v>5</v>
      </c>
      <c r="B83" s="2" t="s">
        <v>49</v>
      </c>
      <c r="C83" s="2">
        <v>658</v>
      </c>
      <c r="D83" s="3">
        <v>44221</v>
      </c>
      <c r="E83" s="2" t="s">
        <v>346</v>
      </c>
      <c r="F83" s="2"/>
      <c r="G83" s="2" t="s">
        <v>347</v>
      </c>
      <c r="H83" s="2" t="s">
        <v>348</v>
      </c>
      <c r="I83" s="2" t="s">
        <v>51</v>
      </c>
      <c r="J83" s="3">
        <v>42178</v>
      </c>
      <c r="K83" s="2">
        <v>501</v>
      </c>
      <c r="L83" s="2"/>
      <c r="M83" s="2">
        <v>209</v>
      </c>
      <c r="N83" s="2">
        <v>182</v>
      </c>
      <c r="O83" s="2" t="s">
        <v>6</v>
      </c>
      <c r="P83" s="2"/>
      <c r="Q83" s="2"/>
      <c r="R83" s="2" t="s">
        <v>53</v>
      </c>
      <c r="S83" s="2">
        <v>8210302201</v>
      </c>
      <c r="T83" s="2" t="s">
        <v>349</v>
      </c>
      <c r="U83" s="2"/>
      <c r="V83" s="2">
        <v>9799550125</v>
      </c>
      <c r="W83" s="2" t="s">
        <v>201</v>
      </c>
      <c r="X83" s="2">
        <v>80000</v>
      </c>
      <c r="Y83" s="2" t="s">
        <v>55</v>
      </c>
      <c r="Z83" s="2" t="s">
        <v>55</v>
      </c>
      <c r="AA83" s="2"/>
      <c r="AB83" s="2">
        <v>10</v>
      </c>
      <c r="AC83" s="2" t="s">
        <v>57</v>
      </c>
      <c r="AD83" s="2">
        <v>0</v>
      </c>
    </row>
    <row r="84" spans="1:30" ht="30" x14ac:dyDescent="0.25">
      <c r="A84" s="2">
        <v>5</v>
      </c>
      <c r="B84" s="2" t="s">
        <v>49</v>
      </c>
      <c r="C84" s="2">
        <v>654</v>
      </c>
      <c r="D84" s="3">
        <v>44221</v>
      </c>
      <c r="E84" s="2" t="s">
        <v>202</v>
      </c>
      <c r="F84" s="2"/>
      <c r="G84" s="2" t="s">
        <v>118</v>
      </c>
      <c r="H84" s="2" t="s">
        <v>119</v>
      </c>
      <c r="I84" s="2" t="s">
        <v>51</v>
      </c>
      <c r="J84" s="3">
        <v>42020</v>
      </c>
      <c r="K84" s="2">
        <v>502</v>
      </c>
      <c r="L84" s="2"/>
      <c r="M84" s="2">
        <v>209</v>
      </c>
      <c r="N84" s="2">
        <v>180</v>
      </c>
      <c r="O84" s="2" t="s">
        <v>6</v>
      </c>
      <c r="P84" s="2"/>
      <c r="Q84" s="2"/>
      <c r="R84" s="2" t="s">
        <v>53</v>
      </c>
      <c r="S84" s="2">
        <v>8210302201</v>
      </c>
      <c r="T84" s="2" t="s">
        <v>350</v>
      </c>
      <c r="U84" s="2"/>
      <c r="V84" s="2">
        <v>6378602329</v>
      </c>
      <c r="W84" s="2" t="s">
        <v>201</v>
      </c>
      <c r="X84" s="2">
        <v>50000</v>
      </c>
      <c r="Y84" s="2" t="s">
        <v>55</v>
      </c>
      <c r="Z84" s="2" t="s">
        <v>55</v>
      </c>
      <c r="AA84" s="2"/>
      <c r="AB84" s="2">
        <v>10</v>
      </c>
      <c r="AC84" s="2" t="s">
        <v>57</v>
      </c>
      <c r="AD84" s="2">
        <v>0</v>
      </c>
    </row>
    <row r="85" spans="1:30" ht="30" x14ac:dyDescent="0.25">
      <c r="A85" s="2">
        <v>5</v>
      </c>
      <c r="B85" s="2" t="s">
        <v>49</v>
      </c>
      <c r="C85" s="2">
        <v>604</v>
      </c>
      <c r="D85" s="3">
        <v>44025</v>
      </c>
      <c r="E85" s="2" t="s">
        <v>202</v>
      </c>
      <c r="F85" s="2"/>
      <c r="G85" s="2" t="s">
        <v>351</v>
      </c>
      <c r="H85" s="2" t="s">
        <v>100</v>
      </c>
      <c r="I85" s="2" t="s">
        <v>51</v>
      </c>
      <c r="J85" s="3">
        <v>42160</v>
      </c>
      <c r="K85" s="2">
        <v>503</v>
      </c>
      <c r="L85" s="2"/>
      <c r="M85" s="2">
        <v>209</v>
      </c>
      <c r="N85" s="2">
        <v>183</v>
      </c>
      <c r="O85" s="2" t="s">
        <v>6</v>
      </c>
      <c r="P85" s="2" t="s">
        <v>52</v>
      </c>
      <c r="Q85" s="2"/>
      <c r="R85" s="2" t="s">
        <v>53</v>
      </c>
      <c r="S85" s="2">
        <v>8210302201</v>
      </c>
      <c r="T85" s="2" t="s">
        <v>352</v>
      </c>
      <c r="U85" s="2"/>
      <c r="V85" s="2">
        <v>9999999999</v>
      </c>
      <c r="W85" s="2" t="s">
        <v>214</v>
      </c>
      <c r="X85" s="2">
        <v>50000</v>
      </c>
      <c r="Y85" s="2" t="s">
        <v>55</v>
      </c>
      <c r="Z85" s="2" t="s">
        <v>55</v>
      </c>
      <c r="AA85" s="2" t="s">
        <v>56</v>
      </c>
      <c r="AB85" s="2">
        <v>10</v>
      </c>
      <c r="AC85" s="2" t="s">
        <v>57</v>
      </c>
      <c r="AD85" s="2">
        <v>0</v>
      </c>
    </row>
    <row r="86" spans="1:30" ht="30" x14ac:dyDescent="0.25">
      <c r="A86" s="2">
        <v>5</v>
      </c>
      <c r="B86" s="2" t="s">
        <v>49</v>
      </c>
      <c r="C86" s="2">
        <v>605</v>
      </c>
      <c r="D86" s="3">
        <v>44027</v>
      </c>
      <c r="E86" s="2" t="s">
        <v>302</v>
      </c>
      <c r="F86" s="2"/>
      <c r="G86" s="2" t="s">
        <v>65</v>
      </c>
      <c r="H86" s="2" t="s">
        <v>253</v>
      </c>
      <c r="I86" s="2" t="s">
        <v>51</v>
      </c>
      <c r="J86" s="3">
        <v>41666</v>
      </c>
      <c r="K86" s="2">
        <v>504</v>
      </c>
      <c r="L86" s="2"/>
      <c r="M86" s="2">
        <v>209</v>
      </c>
      <c r="N86" s="2">
        <v>185</v>
      </c>
      <c r="O86" s="2" t="s">
        <v>4</v>
      </c>
      <c r="P86" s="2" t="s">
        <v>52</v>
      </c>
      <c r="Q86" s="2"/>
      <c r="R86" s="2" t="s">
        <v>53</v>
      </c>
      <c r="S86" s="2">
        <v>8210302201</v>
      </c>
      <c r="T86" s="2" t="s">
        <v>353</v>
      </c>
      <c r="U86" s="2"/>
      <c r="V86" s="2">
        <v>8890861312</v>
      </c>
      <c r="W86" s="2" t="s">
        <v>214</v>
      </c>
      <c r="X86" s="2">
        <v>50000</v>
      </c>
      <c r="Y86" s="2" t="s">
        <v>55</v>
      </c>
      <c r="Z86" s="2" t="s">
        <v>55</v>
      </c>
      <c r="AA86" s="2" t="s">
        <v>56</v>
      </c>
      <c r="AB86" s="2">
        <v>11</v>
      </c>
      <c r="AC86" s="2" t="s">
        <v>57</v>
      </c>
      <c r="AD86" s="2">
        <v>0</v>
      </c>
    </row>
    <row r="87" spans="1:30" ht="30" x14ac:dyDescent="0.25">
      <c r="A87" s="2">
        <v>5</v>
      </c>
      <c r="B87" s="2" t="s">
        <v>49</v>
      </c>
      <c r="C87" s="2">
        <v>771</v>
      </c>
      <c r="D87" s="3">
        <v>44755</v>
      </c>
      <c r="E87" s="2" t="s">
        <v>354</v>
      </c>
      <c r="F87" s="2"/>
      <c r="G87" s="2" t="s">
        <v>355</v>
      </c>
      <c r="H87" s="2" t="s">
        <v>138</v>
      </c>
      <c r="I87" s="2" t="s">
        <v>51</v>
      </c>
      <c r="J87" s="3">
        <v>42096</v>
      </c>
      <c r="K87" s="2">
        <v>505</v>
      </c>
      <c r="L87" s="2"/>
      <c r="M87" s="2">
        <v>209</v>
      </c>
      <c r="N87" s="2">
        <v>182</v>
      </c>
      <c r="O87" s="2" t="s">
        <v>6</v>
      </c>
      <c r="P87" s="2"/>
      <c r="Q87" s="2"/>
      <c r="R87" s="2" t="s">
        <v>53</v>
      </c>
      <c r="S87" s="2">
        <v>8210302201</v>
      </c>
      <c r="T87" s="2"/>
      <c r="U87" s="2"/>
      <c r="V87" s="2">
        <v>9875117480</v>
      </c>
      <c r="W87" s="2"/>
      <c r="X87" s="2"/>
      <c r="Y87" s="2" t="s">
        <v>55</v>
      </c>
      <c r="Z87" s="2" t="s">
        <v>190</v>
      </c>
      <c r="AA87" s="2"/>
      <c r="AB87" s="2">
        <v>10</v>
      </c>
      <c r="AC87" s="2"/>
      <c r="AD87" s="2">
        <v>0</v>
      </c>
    </row>
    <row r="88" spans="1:30" ht="30" x14ac:dyDescent="0.25">
      <c r="A88" s="2">
        <v>5</v>
      </c>
      <c r="B88" s="2" t="s">
        <v>49</v>
      </c>
      <c r="C88" s="2">
        <v>632</v>
      </c>
      <c r="D88" s="3">
        <v>44057</v>
      </c>
      <c r="E88" s="2" t="s">
        <v>356</v>
      </c>
      <c r="F88" s="2"/>
      <c r="G88" s="2" t="s">
        <v>357</v>
      </c>
      <c r="H88" s="2" t="s">
        <v>358</v>
      </c>
      <c r="I88" s="2" t="s">
        <v>51</v>
      </c>
      <c r="J88" s="3">
        <v>41826</v>
      </c>
      <c r="K88" s="2">
        <v>507</v>
      </c>
      <c r="L88" s="2"/>
      <c r="M88" s="2">
        <v>209</v>
      </c>
      <c r="N88" s="2">
        <v>179</v>
      </c>
      <c r="O88" s="2" t="s">
        <v>6</v>
      </c>
      <c r="P88" s="2" t="s">
        <v>52</v>
      </c>
      <c r="Q88" s="2"/>
      <c r="R88" s="2" t="s">
        <v>53</v>
      </c>
      <c r="S88" s="2">
        <v>8210302201</v>
      </c>
      <c r="T88" s="2"/>
      <c r="U88" s="2"/>
      <c r="V88" s="2">
        <v>8290856599</v>
      </c>
      <c r="W88" s="2" t="s">
        <v>214</v>
      </c>
      <c r="X88" s="2">
        <v>50000</v>
      </c>
      <c r="Y88" s="2" t="s">
        <v>55</v>
      </c>
      <c r="Z88" s="2" t="s">
        <v>55</v>
      </c>
      <c r="AA88" s="2" t="s">
        <v>56</v>
      </c>
      <c r="AB88" s="2">
        <v>11</v>
      </c>
      <c r="AC88" s="2" t="s">
        <v>57</v>
      </c>
      <c r="AD88" s="2">
        <v>0</v>
      </c>
    </row>
    <row r="89" spans="1:30" ht="30" x14ac:dyDescent="0.25">
      <c r="A89" s="2">
        <v>5</v>
      </c>
      <c r="B89" s="2" t="s">
        <v>49</v>
      </c>
      <c r="C89" s="2">
        <v>550</v>
      </c>
      <c r="D89" s="3">
        <v>43650</v>
      </c>
      <c r="E89" s="2" t="s">
        <v>359</v>
      </c>
      <c r="F89" s="2"/>
      <c r="G89" s="2" t="s">
        <v>360</v>
      </c>
      <c r="H89" s="2" t="s">
        <v>361</v>
      </c>
      <c r="I89" s="2" t="s">
        <v>51</v>
      </c>
      <c r="J89" s="3">
        <v>41428</v>
      </c>
      <c r="K89" s="2">
        <v>508</v>
      </c>
      <c r="L89" s="2"/>
      <c r="M89" s="2">
        <v>209</v>
      </c>
      <c r="N89" s="2">
        <v>177</v>
      </c>
      <c r="O89" s="2" t="s">
        <v>6</v>
      </c>
      <c r="P89" s="2" t="s">
        <v>52</v>
      </c>
      <c r="Q89" s="2"/>
      <c r="R89" s="2" t="s">
        <v>53</v>
      </c>
      <c r="S89" s="2">
        <v>8210302201</v>
      </c>
      <c r="T89" s="2" t="s">
        <v>362</v>
      </c>
      <c r="U89" s="2" t="s">
        <v>363</v>
      </c>
      <c r="V89" s="2">
        <v>9900000000</v>
      </c>
      <c r="W89" s="2" t="s">
        <v>364</v>
      </c>
      <c r="X89" s="2">
        <v>50000</v>
      </c>
      <c r="Y89" s="2" t="s">
        <v>55</v>
      </c>
      <c r="Z89" s="2" t="s">
        <v>55</v>
      </c>
      <c r="AA89" s="2" t="s">
        <v>56</v>
      </c>
      <c r="AB89" s="2">
        <v>12</v>
      </c>
      <c r="AC89" s="2" t="s">
        <v>57</v>
      </c>
      <c r="AD89" s="2">
        <v>0</v>
      </c>
    </row>
    <row r="90" spans="1:30" ht="30" x14ac:dyDescent="0.25">
      <c r="A90" s="2">
        <v>5</v>
      </c>
      <c r="B90" s="2" t="s">
        <v>49</v>
      </c>
      <c r="C90" s="2">
        <v>753</v>
      </c>
      <c r="D90" s="3">
        <v>44585</v>
      </c>
      <c r="E90" s="2" t="s">
        <v>365</v>
      </c>
      <c r="F90" s="2"/>
      <c r="G90" s="2" t="s">
        <v>366</v>
      </c>
      <c r="H90" s="2" t="s">
        <v>367</v>
      </c>
      <c r="I90" s="2" t="s">
        <v>67</v>
      </c>
      <c r="J90" s="3">
        <v>41529</v>
      </c>
      <c r="K90" s="2">
        <v>509</v>
      </c>
      <c r="L90" s="2"/>
      <c r="M90" s="2">
        <v>209</v>
      </c>
      <c r="N90" s="2">
        <v>165</v>
      </c>
      <c r="O90" s="2" t="s">
        <v>4</v>
      </c>
      <c r="P90" s="2" t="s">
        <v>52</v>
      </c>
      <c r="Q90" s="2"/>
      <c r="R90" s="2" t="s">
        <v>53</v>
      </c>
      <c r="S90" s="2">
        <v>8210302201</v>
      </c>
      <c r="T90" s="2" t="s">
        <v>368</v>
      </c>
      <c r="U90" s="2"/>
      <c r="V90" s="2">
        <v>7976909816</v>
      </c>
      <c r="W90" s="2" t="s">
        <v>369</v>
      </c>
      <c r="X90" s="2">
        <v>500000</v>
      </c>
      <c r="Y90" s="2" t="s">
        <v>55</v>
      </c>
      <c r="Z90" s="2" t="s">
        <v>55</v>
      </c>
      <c r="AA90" s="2" t="s">
        <v>56</v>
      </c>
      <c r="AB90" s="2">
        <v>12</v>
      </c>
      <c r="AC90" s="2" t="s">
        <v>57</v>
      </c>
      <c r="AD90" s="2">
        <v>0</v>
      </c>
    </row>
    <row r="91" spans="1:30" ht="30" x14ac:dyDescent="0.25">
      <c r="A91" s="2">
        <v>5</v>
      </c>
      <c r="B91" s="2" t="s">
        <v>49</v>
      </c>
      <c r="C91" s="2">
        <v>754</v>
      </c>
      <c r="D91" s="3">
        <v>44585</v>
      </c>
      <c r="E91" s="2" t="s">
        <v>370</v>
      </c>
      <c r="F91" s="2"/>
      <c r="G91" s="2" t="s">
        <v>366</v>
      </c>
      <c r="H91" s="2" t="s">
        <v>367</v>
      </c>
      <c r="I91" s="2" t="s">
        <v>67</v>
      </c>
      <c r="J91" s="3">
        <v>41529</v>
      </c>
      <c r="K91" s="2">
        <v>510</v>
      </c>
      <c r="L91" s="2"/>
      <c r="M91" s="2">
        <v>209</v>
      </c>
      <c r="N91" s="2">
        <v>168</v>
      </c>
      <c r="O91" s="2" t="s">
        <v>4</v>
      </c>
      <c r="P91" s="2"/>
      <c r="Q91" s="2"/>
      <c r="R91" s="2" t="s">
        <v>53</v>
      </c>
      <c r="S91" s="2">
        <v>8210302201</v>
      </c>
      <c r="T91" s="2" t="s">
        <v>371</v>
      </c>
      <c r="U91" s="2"/>
      <c r="V91" s="2">
        <v>7976909816</v>
      </c>
      <c r="W91" s="2" t="s">
        <v>369</v>
      </c>
      <c r="X91" s="2">
        <v>50000</v>
      </c>
      <c r="Y91" s="2" t="s">
        <v>55</v>
      </c>
      <c r="Z91" s="2" t="s">
        <v>55</v>
      </c>
      <c r="AA91" s="2"/>
      <c r="AB91" s="2">
        <v>12</v>
      </c>
      <c r="AC91" s="2" t="s">
        <v>57</v>
      </c>
      <c r="AD91" s="2">
        <v>0</v>
      </c>
    </row>
    <row r="92" spans="1:30" ht="30" x14ac:dyDescent="0.25">
      <c r="A92" s="2">
        <v>5</v>
      </c>
      <c r="B92" s="2" t="s">
        <v>49</v>
      </c>
      <c r="C92" s="2">
        <v>634</v>
      </c>
      <c r="D92" s="3">
        <v>44057</v>
      </c>
      <c r="E92" s="2" t="s">
        <v>372</v>
      </c>
      <c r="F92" s="2"/>
      <c r="G92" s="2" t="s">
        <v>373</v>
      </c>
      <c r="H92" s="2" t="s">
        <v>150</v>
      </c>
      <c r="I92" s="2" t="s">
        <v>67</v>
      </c>
      <c r="J92" s="3">
        <v>41903</v>
      </c>
      <c r="K92" s="2">
        <v>511</v>
      </c>
      <c r="L92" s="2"/>
      <c r="M92" s="2">
        <v>209</v>
      </c>
      <c r="N92" s="2">
        <v>180</v>
      </c>
      <c r="O92" s="2" t="s">
        <v>6</v>
      </c>
      <c r="P92" s="2" t="s">
        <v>52</v>
      </c>
      <c r="Q92" s="2"/>
      <c r="R92" s="2" t="s">
        <v>53</v>
      </c>
      <c r="S92" s="2">
        <v>8210302201</v>
      </c>
      <c r="T92" s="2" t="s">
        <v>374</v>
      </c>
      <c r="U92" s="2"/>
      <c r="V92" s="2">
        <v>8890617781</v>
      </c>
      <c r="W92" s="2" t="s">
        <v>214</v>
      </c>
      <c r="X92" s="2">
        <v>50000</v>
      </c>
      <c r="Y92" s="2" t="s">
        <v>55</v>
      </c>
      <c r="Z92" s="2" t="s">
        <v>55</v>
      </c>
      <c r="AA92" s="2" t="s">
        <v>56</v>
      </c>
      <c r="AB92" s="2">
        <v>11</v>
      </c>
      <c r="AC92" s="2" t="s">
        <v>57</v>
      </c>
      <c r="AD92" s="2">
        <v>0</v>
      </c>
    </row>
    <row r="93" spans="1:30" ht="30" x14ac:dyDescent="0.25">
      <c r="A93" s="2">
        <v>5</v>
      </c>
      <c r="B93" s="2" t="s">
        <v>49</v>
      </c>
      <c r="C93" s="2">
        <v>639</v>
      </c>
      <c r="D93" s="3">
        <v>44061</v>
      </c>
      <c r="E93" s="2" t="s">
        <v>375</v>
      </c>
      <c r="F93" s="2"/>
      <c r="G93" s="2" t="s">
        <v>376</v>
      </c>
      <c r="H93" s="2" t="s">
        <v>377</v>
      </c>
      <c r="I93" s="2" t="s">
        <v>51</v>
      </c>
      <c r="J93" s="3">
        <v>41980</v>
      </c>
      <c r="K93" s="2">
        <v>512</v>
      </c>
      <c r="L93" s="2"/>
      <c r="M93" s="2">
        <v>209</v>
      </c>
      <c r="N93" s="2">
        <v>183</v>
      </c>
      <c r="O93" s="2" t="s">
        <v>6</v>
      </c>
      <c r="P93" s="2" t="s">
        <v>52</v>
      </c>
      <c r="Q93" s="2"/>
      <c r="R93" s="2" t="s">
        <v>53</v>
      </c>
      <c r="S93" s="2">
        <v>8210302201</v>
      </c>
      <c r="T93" s="2" t="s">
        <v>378</v>
      </c>
      <c r="U93" s="2"/>
      <c r="V93" s="2">
        <v>9799271567</v>
      </c>
      <c r="W93" s="2" t="s">
        <v>214</v>
      </c>
      <c r="X93" s="2">
        <v>60000</v>
      </c>
      <c r="Y93" s="2" t="s">
        <v>55</v>
      </c>
      <c r="Z93" s="2" t="s">
        <v>55</v>
      </c>
      <c r="AA93" s="2" t="s">
        <v>56</v>
      </c>
      <c r="AB93" s="2">
        <v>11</v>
      </c>
      <c r="AC93" s="2" t="s">
        <v>57</v>
      </c>
      <c r="AD93" s="2">
        <v>0</v>
      </c>
    </row>
    <row r="94" spans="1:30" ht="30" x14ac:dyDescent="0.25">
      <c r="A94" s="2">
        <v>5</v>
      </c>
      <c r="B94" s="2" t="s">
        <v>49</v>
      </c>
      <c r="C94" s="2">
        <v>666</v>
      </c>
      <c r="D94" s="3">
        <v>44254</v>
      </c>
      <c r="E94" s="2" t="s">
        <v>379</v>
      </c>
      <c r="F94" s="2"/>
      <c r="G94" s="2" t="s">
        <v>380</v>
      </c>
      <c r="H94" s="2" t="s">
        <v>381</v>
      </c>
      <c r="I94" s="2" t="s">
        <v>51</v>
      </c>
      <c r="J94" s="3">
        <v>41275</v>
      </c>
      <c r="K94" s="2">
        <v>513</v>
      </c>
      <c r="L94" s="2"/>
      <c r="M94" s="2">
        <v>209</v>
      </c>
      <c r="N94" s="2">
        <v>180</v>
      </c>
      <c r="O94" s="2" t="s">
        <v>6</v>
      </c>
      <c r="P94" s="2"/>
      <c r="Q94" s="2"/>
      <c r="R94" s="2" t="s">
        <v>53</v>
      </c>
      <c r="S94" s="2">
        <v>8210302201</v>
      </c>
      <c r="T94" s="2" t="s">
        <v>382</v>
      </c>
      <c r="U94" s="2"/>
      <c r="V94" s="2">
        <v>7737356810</v>
      </c>
      <c r="W94" s="2" t="s">
        <v>383</v>
      </c>
      <c r="X94" s="2">
        <v>50000</v>
      </c>
      <c r="Y94" s="2" t="s">
        <v>55</v>
      </c>
      <c r="Z94" s="2" t="s">
        <v>55</v>
      </c>
      <c r="AA94" s="2"/>
      <c r="AB94" s="2">
        <v>12</v>
      </c>
      <c r="AC94" s="2" t="s">
        <v>57</v>
      </c>
      <c r="AD94" s="2">
        <v>0</v>
      </c>
    </row>
    <row r="95" spans="1:30" ht="30" x14ac:dyDescent="0.25">
      <c r="A95" s="2">
        <v>5</v>
      </c>
      <c r="B95" s="2" t="s">
        <v>49</v>
      </c>
      <c r="C95" s="2">
        <v>630</v>
      </c>
      <c r="D95" s="3">
        <v>44056</v>
      </c>
      <c r="E95" s="2" t="s">
        <v>384</v>
      </c>
      <c r="F95" s="2"/>
      <c r="G95" s="2" t="s">
        <v>385</v>
      </c>
      <c r="H95" s="2" t="s">
        <v>386</v>
      </c>
      <c r="I95" s="2" t="s">
        <v>51</v>
      </c>
      <c r="J95" s="3">
        <v>41924</v>
      </c>
      <c r="K95" s="2">
        <v>514</v>
      </c>
      <c r="L95" s="2"/>
      <c r="M95" s="2">
        <v>209</v>
      </c>
      <c r="N95" s="2">
        <v>181</v>
      </c>
      <c r="O95" s="2" t="s">
        <v>6</v>
      </c>
      <c r="P95" s="2" t="s">
        <v>52</v>
      </c>
      <c r="Q95" s="2"/>
      <c r="R95" s="2" t="s">
        <v>53</v>
      </c>
      <c r="S95" s="2">
        <v>8210302201</v>
      </c>
      <c r="T95" s="2" t="s">
        <v>387</v>
      </c>
      <c r="U95" s="2"/>
      <c r="V95" s="2">
        <v>9602852171</v>
      </c>
      <c r="W95" s="2" t="s">
        <v>214</v>
      </c>
      <c r="X95" s="2">
        <v>50000</v>
      </c>
      <c r="Y95" s="2" t="s">
        <v>55</v>
      </c>
      <c r="Z95" s="2" t="s">
        <v>55</v>
      </c>
      <c r="AA95" s="2" t="s">
        <v>56</v>
      </c>
      <c r="AB95" s="2">
        <v>11</v>
      </c>
      <c r="AC95" s="2" t="s">
        <v>57</v>
      </c>
      <c r="AD95" s="2">
        <v>0</v>
      </c>
    </row>
    <row r="96" spans="1:30" ht="30" x14ac:dyDescent="0.25">
      <c r="A96" s="2">
        <v>5</v>
      </c>
      <c r="B96" s="2" t="s">
        <v>49</v>
      </c>
      <c r="C96" s="2">
        <v>830</v>
      </c>
      <c r="D96" s="3">
        <v>45118</v>
      </c>
      <c r="E96" s="2" t="s">
        <v>233</v>
      </c>
      <c r="F96" s="2"/>
      <c r="G96" s="2" t="s">
        <v>388</v>
      </c>
      <c r="H96" s="2" t="s">
        <v>389</v>
      </c>
      <c r="I96" s="2" t="s">
        <v>51</v>
      </c>
      <c r="J96" s="3">
        <v>41275</v>
      </c>
      <c r="K96" s="2">
        <v>515</v>
      </c>
      <c r="L96" s="2"/>
      <c r="M96" s="2">
        <v>209</v>
      </c>
      <c r="N96" s="2">
        <v>177</v>
      </c>
      <c r="O96" s="2" t="s">
        <v>6</v>
      </c>
      <c r="P96" s="2"/>
      <c r="Q96" s="2"/>
      <c r="R96" s="2" t="s">
        <v>53</v>
      </c>
      <c r="S96" s="2">
        <v>8210302201</v>
      </c>
      <c r="T96" s="2" t="s">
        <v>390</v>
      </c>
      <c r="U96" s="2"/>
      <c r="V96" s="2">
        <v>7226031496</v>
      </c>
      <c r="W96" s="2"/>
      <c r="X96" s="2"/>
      <c r="Y96" s="2" t="s">
        <v>55</v>
      </c>
      <c r="Z96" s="2" t="s">
        <v>190</v>
      </c>
      <c r="AA96" s="2"/>
      <c r="AB96" s="2">
        <v>12</v>
      </c>
      <c r="AC96" s="2"/>
      <c r="AD96" s="2">
        <v>0</v>
      </c>
    </row>
    <row r="97" spans="1:30" ht="45" x14ac:dyDescent="0.25">
      <c r="A97" s="2">
        <v>5</v>
      </c>
      <c r="B97" s="2" t="s">
        <v>49</v>
      </c>
      <c r="C97" s="2">
        <v>675</v>
      </c>
      <c r="D97" s="3">
        <v>44369</v>
      </c>
      <c r="E97" s="2" t="s">
        <v>391</v>
      </c>
      <c r="F97" s="2"/>
      <c r="G97" s="2" t="s">
        <v>65</v>
      </c>
      <c r="H97" s="2" t="s">
        <v>392</v>
      </c>
      <c r="I97" s="2" t="s">
        <v>67</v>
      </c>
      <c r="J97" s="3">
        <v>41794</v>
      </c>
      <c r="K97" s="2">
        <v>516</v>
      </c>
      <c r="L97" s="2"/>
      <c r="M97" s="2">
        <v>209</v>
      </c>
      <c r="N97" s="2">
        <v>182</v>
      </c>
      <c r="O97" s="2" t="s">
        <v>6</v>
      </c>
      <c r="P97" s="2" t="s">
        <v>52</v>
      </c>
      <c r="Q97" s="2"/>
      <c r="R97" s="2" t="s">
        <v>53</v>
      </c>
      <c r="S97" s="2">
        <v>8210302201</v>
      </c>
      <c r="T97" s="2" t="s">
        <v>393</v>
      </c>
      <c r="U97" s="2"/>
      <c r="V97" s="2">
        <v>9929463419</v>
      </c>
      <c r="W97" s="2" t="s">
        <v>394</v>
      </c>
      <c r="X97" s="2">
        <v>54000</v>
      </c>
      <c r="Y97" s="2" t="s">
        <v>55</v>
      </c>
      <c r="Z97" s="2" t="s">
        <v>55</v>
      </c>
      <c r="AA97" s="2" t="s">
        <v>56</v>
      </c>
      <c r="AB97" s="2">
        <v>11</v>
      </c>
      <c r="AC97" s="2" t="s">
        <v>57</v>
      </c>
      <c r="AD97" s="2">
        <v>0</v>
      </c>
    </row>
    <row r="98" spans="1:30" ht="30" x14ac:dyDescent="0.25">
      <c r="A98" s="2">
        <v>5</v>
      </c>
      <c r="B98" s="2" t="s">
        <v>49</v>
      </c>
      <c r="C98" s="2">
        <v>653</v>
      </c>
      <c r="D98" s="3">
        <v>44221</v>
      </c>
      <c r="E98" s="2" t="s">
        <v>395</v>
      </c>
      <c r="F98" s="2"/>
      <c r="G98" s="2" t="s">
        <v>50</v>
      </c>
      <c r="H98" s="2" t="s">
        <v>396</v>
      </c>
      <c r="I98" s="2" t="s">
        <v>67</v>
      </c>
      <c r="J98" s="3">
        <v>41678</v>
      </c>
      <c r="K98" s="2">
        <v>517</v>
      </c>
      <c r="L98" s="2"/>
      <c r="M98" s="2">
        <v>209</v>
      </c>
      <c r="N98" s="2">
        <v>176</v>
      </c>
      <c r="O98" s="2" t="s">
        <v>6</v>
      </c>
      <c r="P98" s="2"/>
      <c r="Q98" s="2"/>
      <c r="R98" s="2" t="s">
        <v>53</v>
      </c>
      <c r="S98" s="2">
        <v>8210302201</v>
      </c>
      <c r="T98" s="2" t="s">
        <v>397</v>
      </c>
      <c r="U98" s="2"/>
      <c r="V98" s="2">
        <v>8003470484</v>
      </c>
      <c r="W98" s="2" t="s">
        <v>201</v>
      </c>
      <c r="X98" s="2">
        <v>50000</v>
      </c>
      <c r="Y98" s="2" t="s">
        <v>55</v>
      </c>
      <c r="Z98" s="2" t="s">
        <v>55</v>
      </c>
      <c r="AA98" s="2"/>
      <c r="AB98" s="2">
        <v>11</v>
      </c>
      <c r="AC98" s="2" t="s">
        <v>57</v>
      </c>
      <c r="AD98" s="2">
        <v>0</v>
      </c>
    </row>
    <row r="99" spans="1:30" ht="30" x14ac:dyDescent="0.25">
      <c r="A99" s="2">
        <v>5</v>
      </c>
      <c r="B99" s="2" t="s">
        <v>49</v>
      </c>
      <c r="C99" s="2">
        <v>895</v>
      </c>
      <c r="D99" s="3">
        <v>45488</v>
      </c>
      <c r="E99" s="2" t="s">
        <v>398</v>
      </c>
      <c r="F99" s="2"/>
      <c r="G99" s="2" t="s">
        <v>187</v>
      </c>
      <c r="H99" s="2" t="s">
        <v>399</v>
      </c>
      <c r="I99" s="2" t="s">
        <v>67</v>
      </c>
      <c r="J99" s="3">
        <v>41719</v>
      </c>
      <c r="K99" s="2">
        <v>518</v>
      </c>
      <c r="L99" s="2"/>
      <c r="M99" s="2">
        <v>209</v>
      </c>
      <c r="N99" s="2">
        <v>183</v>
      </c>
      <c r="O99" s="2" t="s">
        <v>6</v>
      </c>
      <c r="P99" s="2"/>
      <c r="Q99" s="2"/>
      <c r="R99" s="2" t="s">
        <v>53</v>
      </c>
      <c r="S99" s="2">
        <v>8210302201</v>
      </c>
      <c r="T99" s="2"/>
      <c r="U99" s="2"/>
      <c r="V99" s="2">
        <v>9571132018</v>
      </c>
      <c r="W99" s="2"/>
      <c r="X99" s="2"/>
      <c r="Y99" s="2" t="s">
        <v>55</v>
      </c>
      <c r="Z99" s="2" t="s">
        <v>190</v>
      </c>
      <c r="AA99" s="2"/>
      <c r="AB99" s="2">
        <v>11</v>
      </c>
      <c r="AC99" s="2"/>
      <c r="AD99" s="2">
        <v>0</v>
      </c>
    </row>
    <row r="100" spans="1:30" ht="30" x14ac:dyDescent="0.25">
      <c r="A100" s="2">
        <v>5</v>
      </c>
      <c r="B100" s="2" t="s">
        <v>49</v>
      </c>
      <c r="C100" s="2">
        <v>608</v>
      </c>
      <c r="D100" s="3">
        <v>44032</v>
      </c>
      <c r="E100" s="2" t="s">
        <v>400</v>
      </c>
      <c r="F100" s="2"/>
      <c r="G100" s="2" t="s">
        <v>401</v>
      </c>
      <c r="H100" s="2" t="s">
        <v>402</v>
      </c>
      <c r="I100" s="2" t="s">
        <v>51</v>
      </c>
      <c r="J100" s="3">
        <v>41628</v>
      </c>
      <c r="K100" s="2">
        <v>519</v>
      </c>
      <c r="L100" s="2"/>
      <c r="M100" s="2">
        <v>209</v>
      </c>
      <c r="N100" s="2">
        <v>184</v>
      </c>
      <c r="O100" s="2" t="s">
        <v>6</v>
      </c>
      <c r="P100" s="2" t="s">
        <v>52</v>
      </c>
      <c r="Q100" s="2"/>
      <c r="R100" s="2" t="s">
        <v>53</v>
      </c>
      <c r="S100" s="2">
        <v>8210302201</v>
      </c>
      <c r="T100" s="2" t="s">
        <v>403</v>
      </c>
      <c r="U100" s="2"/>
      <c r="V100" s="2">
        <v>9336103206</v>
      </c>
      <c r="W100" s="2" t="s">
        <v>404</v>
      </c>
      <c r="X100" s="2">
        <v>50000</v>
      </c>
      <c r="Y100" s="2" t="s">
        <v>55</v>
      </c>
      <c r="Z100" s="2" t="s">
        <v>55</v>
      </c>
      <c r="AA100" s="2" t="s">
        <v>56</v>
      </c>
      <c r="AB100" s="2">
        <v>12</v>
      </c>
      <c r="AC100" s="2" t="s">
        <v>57</v>
      </c>
      <c r="AD100" s="2">
        <v>0</v>
      </c>
    </row>
    <row r="101" spans="1:30" ht="30" x14ac:dyDescent="0.25">
      <c r="A101" s="2">
        <v>5</v>
      </c>
      <c r="B101" s="2" t="s">
        <v>49</v>
      </c>
      <c r="C101" s="2">
        <v>740</v>
      </c>
      <c r="D101" s="3">
        <v>44466</v>
      </c>
      <c r="E101" s="2" t="s">
        <v>304</v>
      </c>
      <c r="F101" s="2"/>
      <c r="G101" s="2" t="s">
        <v>405</v>
      </c>
      <c r="H101" s="2" t="s">
        <v>406</v>
      </c>
      <c r="I101" s="2" t="s">
        <v>67</v>
      </c>
      <c r="J101" s="3">
        <v>41798</v>
      </c>
      <c r="K101" s="2">
        <v>520</v>
      </c>
      <c r="L101" s="2"/>
      <c r="M101" s="2">
        <v>209</v>
      </c>
      <c r="N101" s="2">
        <v>178</v>
      </c>
      <c r="O101" s="2" t="s">
        <v>6</v>
      </c>
      <c r="P101" s="2"/>
      <c r="Q101" s="2"/>
      <c r="R101" s="2" t="s">
        <v>53</v>
      </c>
      <c r="S101" s="2">
        <v>8210302201</v>
      </c>
      <c r="T101" s="2" t="s">
        <v>407</v>
      </c>
      <c r="U101" s="2"/>
      <c r="V101" s="2">
        <v>7727904312</v>
      </c>
      <c r="W101" s="2" t="s">
        <v>201</v>
      </c>
      <c r="X101" s="2">
        <v>50000</v>
      </c>
      <c r="Y101" s="2" t="s">
        <v>55</v>
      </c>
      <c r="Z101" s="2" t="s">
        <v>55</v>
      </c>
      <c r="AA101" s="2"/>
      <c r="AB101" s="2">
        <v>11</v>
      </c>
      <c r="AC101" s="2" t="s">
        <v>57</v>
      </c>
      <c r="AD101" s="2">
        <v>0</v>
      </c>
    </row>
    <row r="102" spans="1:30" ht="30" x14ac:dyDescent="0.25">
      <c r="A102" s="2">
        <v>5</v>
      </c>
      <c r="B102" s="2" t="s">
        <v>49</v>
      </c>
      <c r="C102" s="2">
        <v>629</v>
      </c>
      <c r="D102" s="3">
        <v>44056</v>
      </c>
      <c r="E102" s="2" t="s">
        <v>408</v>
      </c>
      <c r="F102" s="2"/>
      <c r="G102" s="2" t="s">
        <v>115</v>
      </c>
      <c r="H102" s="2" t="s">
        <v>402</v>
      </c>
      <c r="I102" s="2" t="s">
        <v>67</v>
      </c>
      <c r="J102" s="3">
        <v>42202</v>
      </c>
      <c r="K102" s="2">
        <v>521</v>
      </c>
      <c r="L102" s="2"/>
      <c r="M102" s="2">
        <v>209</v>
      </c>
      <c r="N102" s="2">
        <v>181</v>
      </c>
      <c r="O102" s="2" t="s">
        <v>6</v>
      </c>
      <c r="P102" s="2"/>
      <c r="Q102" s="2"/>
      <c r="R102" s="2" t="s">
        <v>53</v>
      </c>
      <c r="S102" s="2">
        <v>8210302201</v>
      </c>
      <c r="T102" s="2" t="s">
        <v>409</v>
      </c>
      <c r="U102" s="2"/>
      <c r="V102" s="2">
        <v>9001697969</v>
      </c>
      <c r="W102" s="2" t="s">
        <v>201</v>
      </c>
      <c r="X102" s="2">
        <v>50000</v>
      </c>
      <c r="Y102" s="2" t="s">
        <v>55</v>
      </c>
      <c r="Z102" s="2" t="s">
        <v>55</v>
      </c>
      <c r="AA102" s="2"/>
      <c r="AB102" s="2">
        <v>10</v>
      </c>
      <c r="AC102" s="2" t="s">
        <v>57</v>
      </c>
      <c r="AD102" s="2">
        <v>0</v>
      </c>
    </row>
    <row r="103" spans="1:30" ht="30" x14ac:dyDescent="0.25">
      <c r="A103" s="2">
        <v>5</v>
      </c>
      <c r="B103" s="2" t="s">
        <v>49</v>
      </c>
      <c r="C103" s="2">
        <v>846</v>
      </c>
      <c r="D103" s="3">
        <v>45125</v>
      </c>
      <c r="E103" s="2" t="s">
        <v>182</v>
      </c>
      <c r="F103" s="2"/>
      <c r="G103" s="2" t="s">
        <v>357</v>
      </c>
      <c r="H103" s="2" t="s">
        <v>358</v>
      </c>
      <c r="I103" s="2" t="s">
        <v>51</v>
      </c>
      <c r="J103" s="3">
        <v>41766</v>
      </c>
      <c r="K103" s="2">
        <v>522</v>
      </c>
      <c r="L103" s="2"/>
      <c r="M103" s="2">
        <v>209</v>
      </c>
      <c r="N103" s="2">
        <v>176</v>
      </c>
      <c r="O103" s="2" t="s">
        <v>6</v>
      </c>
      <c r="P103" s="2"/>
      <c r="Q103" s="2"/>
      <c r="R103" s="2" t="s">
        <v>53</v>
      </c>
      <c r="S103" s="2">
        <v>8210302201</v>
      </c>
      <c r="T103" s="2" t="s">
        <v>410</v>
      </c>
      <c r="U103" s="2"/>
      <c r="V103" s="2">
        <v>9667456734</v>
      </c>
      <c r="W103" s="2" t="s">
        <v>411</v>
      </c>
      <c r="X103" s="2">
        <v>0</v>
      </c>
      <c r="Y103" s="2" t="s">
        <v>55</v>
      </c>
      <c r="Z103" s="2" t="s">
        <v>55</v>
      </c>
      <c r="AA103" s="2"/>
      <c r="AB103" s="2">
        <v>11</v>
      </c>
      <c r="AC103" s="2" t="s">
        <v>57</v>
      </c>
      <c r="AD103" s="2">
        <v>0</v>
      </c>
    </row>
    <row r="104" spans="1:30" ht="30" x14ac:dyDescent="0.25">
      <c r="A104" s="2">
        <v>5</v>
      </c>
      <c r="B104" s="2" t="s">
        <v>49</v>
      </c>
      <c r="C104" s="2">
        <v>817</v>
      </c>
      <c r="D104" s="3">
        <v>45118</v>
      </c>
      <c r="E104" s="2" t="s">
        <v>106</v>
      </c>
      <c r="F104" s="2"/>
      <c r="G104" s="2" t="s">
        <v>412</v>
      </c>
      <c r="H104" s="2" t="s">
        <v>224</v>
      </c>
      <c r="I104" s="2" t="s">
        <v>51</v>
      </c>
      <c r="J104" s="3">
        <v>41149</v>
      </c>
      <c r="K104" s="2">
        <v>523</v>
      </c>
      <c r="L104" s="2"/>
      <c r="M104" s="2">
        <v>209</v>
      </c>
      <c r="N104" s="2">
        <v>184</v>
      </c>
      <c r="O104" s="2" t="s">
        <v>4</v>
      </c>
      <c r="P104" s="2"/>
      <c r="Q104" s="2"/>
      <c r="R104" s="2" t="s">
        <v>53</v>
      </c>
      <c r="S104" s="2">
        <v>8210302201</v>
      </c>
      <c r="T104" s="2" t="s">
        <v>413</v>
      </c>
      <c r="U104" s="2"/>
      <c r="V104" s="2">
        <v>8769047422</v>
      </c>
      <c r="W104" s="2"/>
      <c r="X104" s="2"/>
      <c r="Y104" s="2" t="s">
        <v>55</v>
      </c>
      <c r="Z104" s="2" t="s">
        <v>190</v>
      </c>
      <c r="AA104" s="2"/>
      <c r="AB104" s="2">
        <v>13</v>
      </c>
      <c r="AC104" s="2"/>
      <c r="AD104" s="2">
        <v>0</v>
      </c>
    </row>
    <row r="105" spans="1:30" ht="30" x14ac:dyDescent="0.25">
      <c r="A105" s="2">
        <v>5</v>
      </c>
      <c r="B105" s="2" t="s">
        <v>49</v>
      </c>
      <c r="C105" s="2">
        <v>610</v>
      </c>
      <c r="D105" s="3">
        <v>44035</v>
      </c>
      <c r="E105" s="2" t="s">
        <v>414</v>
      </c>
      <c r="F105" s="2"/>
      <c r="G105" s="2" t="s">
        <v>415</v>
      </c>
      <c r="H105" s="2" t="s">
        <v>416</v>
      </c>
      <c r="I105" s="2" t="s">
        <v>67</v>
      </c>
      <c r="J105" s="3">
        <v>42005</v>
      </c>
      <c r="K105" s="2">
        <v>524</v>
      </c>
      <c r="L105" s="2"/>
      <c r="M105" s="2">
        <v>209</v>
      </c>
      <c r="N105" s="2">
        <v>176</v>
      </c>
      <c r="O105" s="2" t="s">
        <v>5</v>
      </c>
      <c r="P105" s="2" t="s">
        <v>52</v>
      </c>
      <c r="Q105" s="2"/>
      <c r="R105" s="2" t="s">
        <v>53</v>
      </c>
      <c r="S105" s="2">
        <v>8210302201</v>
      </c>
      <c r="T105" s="2" t="s">
        <v>417</v>
      </c>
      <c r="U105" s="2"/>
      <c r="V105" s="2">
        <v>7742460176</v>
      </c>
      <c r="W105" s="2" t="s">
        <v>201</v>
      </c>
      <c r="X105" s="2">
        <v>0</v>
      </c>
      <c r="Y105" s="2" t="s">
        <v>55</v>
      </c>
      <c r="Z105" s="2" t="s">
        <v>55</v>
      </c>
      <c r="AA105" s="2" t="s">
        <v>56</v>
      </c>
      <c r="AB105" s="2">
        <v>10</v>
      </c>
      <c r="AC105" s="2" t="s">
        <v>57</v>
      </c>
      <c r="AD105" s="2">
        <v>0</v>
      </c>
    </row>
    <row r="106" spans="1:30" ht="30" x14ac:dyDescent="0.25">
      <c r="A106" s="2">
        <v>5</v>
      </c>
      <c r="B106" s="2" t="s">
        <v>49</v>
      </c>
      <c r="C106" s="2">
        <v>628</v>
      </c>
      <c r="D106" s="3">
        <v>44056</v>
      </c>
      <c r="E106" s="2" t="s">
        <v>418</v>
      </c>
      <c r="F106" s="2"/>
      <c r="G106" s="2" t="s">
        <v>115</v>
      </c>
      <c r="H106" s="2" t="s">
        <v>402</v>
      </c>
      <c r="I106" s="2" t="s">
        <v>67</v>
      </c>
      <c r="J106" s="3">
        <v>41459</v>
      </c>
      <c r="K106" s="2">
        <v>525</v>
      </c>
      <c r="L106" s="2"/>
      <c r="M106" s="2">
        <v>209</v>
      </c>
      <c r="N106" s="2">
        <v>182</v>
      </c>
      <c r="O106" s="2" t="s">
        <v>6</v>
      </c>
      <c r="P106" s="2" t="s">
        <v>52</v>
      </c>
      <c r="Q106" s="2"/>
      <c r="R106" s="2" t="s">
        <v>53</v>
      </c>
      <c r="S106" s="2">
        <v>8210302201</v>
      </c>
      <c r="T106" s="2" t="s">
        <v>419</v>
      </c>
      <c r="U106" s="2"/>
      <c r="V106" s="2">
        <v>9001697969</v>
      </c>
      <c r="W106" s="2" t="s">
        <v>214</v>
      </c>
      <c r="X106" s="2">
        <v>80000</v>
      </c>
      <c r="Y106" s="2" t="s">
        <v>55</v>
      </c>
      <c r="Z106" s="2" t="s">
        <v>55</v>
      </c>
      <c r="AA106" s="2" t="s">
        <v>56</v>
      </c>
      <c r="AB106" s="2">
        <v>12</v>
      </c>
      <c r="AC106" s="2" t="s">
        <v>57</v>
      </c>
      <c r="AD106" s="2">
        <v>0</v>
      </c>
    </row>
    <row r="107" spans="1:30" ht="30" x14ac:dyDescent="0.25">
      <c r="A107" s="2">
        <v>5</v>
      </c>
      <c r="B107" s="2" t="s">
        <v>49</v>
      </c>
      <c r="C107" s="2">
        <v>635</v>
      </c>
      <c r="D107" s="3">
        <v>44057</v>
      </c>
      <c r="E107" s="2" t="s">
        <v>420</v>
      </c>
      <c r="F107" s="2"/>
      <c r="G107" s="2" t="s">
        <v>421</v>
      </c>
      <c r="H107" s="2" t="s">
        <v>332</v>
      </c>
      <c r="I107" s="2" t="s">
        <v>67</v>
      </c>
      <c r="J107" s="3">
        <v>42241</v>
      </c>
      <c r="K107" s="2">
        <v>526</v>
      </c>
      <c r="L107" s="2"/>
      <c r="M107" s="2">
        <v>209</v>
      </c>
      <c r="N107" s="2">
        <v>172</v>
      </c>
      <c r="O107" s="2" t="s">
        <v>6</v>
      </c>
      <c r="P107" s="2" t="s">
        <v>52</v>
      </c>
      <c r="Q107" s="2"/>
      <c r="R107" s="2" t="s">
        <v>53</v>
      </c>
      <c r="S107" s="2">
        <v>8210302201</v>
      </c>
      <c r="T107" s="2" t="s">
        <v>211</v>
      </c>
      <c r="U107" s="2"/>
      <c r="V107" s="2">
        <v>9784173477</v>
      </c>
      <c r="W107" s="2" t="s">
        <v>214</v>
      </c>
      <c r="X107" s="2">
        <v>50000</v>
      </c>
      <c r="Y107" s="2" t="s">
        <v>55</v>
      </c>
      <c r="Z107" s="2" t="s">
        <v>55</v>
      </c>
      <c r="AA107" s="2" t="s">
        <v>56</v>
      </c>
      <c r="AB107" s="2">
        <v>10</v>
      </c>
      <c r="AC107" s="2" t="s">
        <v>57</v>
      </c>
      <c r="AD107" s="2">
        <v>0</v>
      </c>
    </row>
    <row r="108" spans="1:30" ht="30" x14ac:dyDescent="0.25">
      <c r="A108" s="2">
        <v>5</v>
      </c>
      <c r="B108" s="2" t="s">
        <v>49</v>
      </c>
      <c r="C108" s="2">
        <v>641</v>
      </c>
      <c r="D108" s="3">
        <v>44063</v>
      </c>
      <c r="E108" s="2" t="s">
        <v>422</v>
      </c>
      <c r="F108" s="2"/>
      <c r="G108" s="2" t="s">
        <v>423</v>
      </c>
      <c r="H108" s="2" t="s">
        <v>179</v>
      </c>
      <c r="I108" s="2" t="s">
        <v>67</v>
      </c>
      <c r="J108" s="3">
        <v>41948</v>
      </c>
      <c r="K108" s="2">
        <v>527</v>
      </c>
      <c r="L108" s="2"/>
      <c r="M108" s="2">
        <v>209</v>
      </c>
      <c r="N108" s="2">
        <v>183</v>
      </c>
      <c r="O108" s="2" t="s">
        <v>6</v>
      </c>
      <c r="P108" s="2" t="s">
        <v>52</v>
      </c>
      <c r="Q108" s="2"/>
      <c r="R108" s="2" t="s">
        <v>53</v>
      </c>
      <c r="S108" s="2">
        <v>8210302201</v>
      </c>
      <c r="T108" s="2" t="s">
        <v>424</v>
      </c>
      <c r="U108" s="2"/>
      <c r="V108" s="2">
        <v>9784782294</v>
      </c>
      <c r="W108" s="2" t="s">
        <v>214</v>
      </c>
      <c r="X108" s="2">
        <v>60000</v>
      </c>
      <c r="Y108" s="2" t="s">
        <v>55</v>
      </c>
      <c r="Z108" s="2" t="s">
        <v>55</v>
      </c>
      <c r="AA108" s="2" t="s">
        <v>56</v>
      </c>
      <c r="AB108" s="2">
        <v>11</v>
      </c>
      <c r="AC108" s="2" t="s">
        <v>57</v>
      </c>
      <c r="AD108" s="2">
        <v>0</v>
      </c>
    </row>
    <row r="109" spans="1:30" ht="30" x14ac:dyDescent="0.25">
      <c r="A109" s="2">
        <v>5</v>
      </c>
      <c r="B109" s="2" t="s">
        <v>49</v>
      </c>
      <c r="C109" s="2">
        <v>607</v>
      </c>
      <c r="D109" s="3">
        <v>44029</v>
      </c>
      <c r="E109" s="2" t="s">
        <v>425</v>
      </c>
      <c r="F109" s="2"/>
      <c r="G109" s="2" t="s">
        <v>426</v>
      </c>
      <c r="H109" s="2" t="s">
        <v>427</v>
      </c>
      <c r="I109" s="2" t="s">
        <v>67</v>
      </c>
      <c r="J109" s="3">
        <v>41573</v>
      </c>
      <c r="K109" s="2">
        <v>528</v>
      </c>
      <c r="L109" s="2"/>
      <c r="M109" s="2">
        <v>209</v>
      </c>
      <c r="N109" s="2">
        <v>182</v>
      </c>
      <c r="O109" s="2" t="s">
        <v>4</v>
      </c>
      <c r="P109" s="2" t="s">
        <v>52</v>
      </c>
      <c r="Q109" s="2"/>
      <c r="R109" s="2" t="s">
        <v>53</v>
      </c>
      <c r="S109" s="2">
        <v>8210302201</v>
      </c>
      <c r="T109" s="2" t="s">
        <v>428</v>
      </c>
      <c r="U109" s="2"/>
      <c r="V109" s="2">
        <v>7023127509</v>
      </c>
      <c r="W109" s="2" t="s">
        <v>429</v>
      </c>
      <c r="X109" s="2">
        <v>50000</v>
      </c>
      <c r="Y109" s="2" t="s">
        <v>55</v>
      </c>
      <c r="Z109" s="2" t="s">
        <v>55</v>
      </c>
      <c r="AA109" s="2" t="s">
        <v>56</v>
      </c>
      <c r="AB109" s="2">
        <v>12</v>
      </c>
      <c r="AC109" s="2" t="s">
        <v>57</v>
      </c>
      <c r="AD109" s="2">
        <v>0</v>
      </c>
    </row>
    <row r="110" spans="1:30" ht="30" x14ac:dyDescent="0.25">
      <c r="A110" s="2">
        <v>5</v>
      </c>
      <c r="B110" s="2" t="s">
        <v>49</v>
      </c>
      <c r="C110" s="2">
        <v>621</v>
      </c>
      <c r="D110" s="3">
        <v>44053</v>
      </c>
      <c r="E110" s="2" t="s">
        <v>430</v>
      </c>
      <c r="F110" s="2"/>
      <c r="G110" s="2" t="s">
        <v>412</v>
      </c>
      <c r="H110" s="2" t="s">
        <v>224</v>
      </c>
      <c r="I110" s="2" t="s">
        <v>67</v>
      </c>
      <c r="J110" s="3">
        <v>41660</v>
      </c>
      <c r="K110" s="2">
        <v>529</v>
      </c>
      <c r="L110" s="2"/>
      <c r="M110" s="2">
        <v>209</v>
      </c>
      <c r="N110" s="2">
        <v>183</v>
      </c>
      <c r="O110" s="2" t="s">
        <v>4</v>
      </c>
      <c r="P110" s="2" t="s">
        <v>52</v>
      </c>
      <c r="Q110" s="2"/>
      <c r="R110" s="2" t="s">
        <v>53</v>
      </c>
      <c r="S110" s="2">
        <v>8210302201</v>
      </c>
      <c r="T110" s="2" t="s">
        <v>431</v>
      </c>
      <c r="U110" s="2"/>
      <c r="V110" s="2">
        <v>8306502473</v>
      </c>
      <c r="W110" s="2" t="s">
        <v>214</v>
      </c>
      <c r="X110" s="2">
        <v>60000</v>
      </c>
      <c r="Y110" s="2" t="s">
        <v>55</v>
      </c>
      <c r="Z110" s="2" t="s">
        <v>55</v>
      </c>
      <c r="AA110" s="2" t="s">
        <v>56</v>
      </c>
      <c r="AB110" s="2">
        <v>11</v>
      </c>
      <c r="AC110" s="2" t="s">
        <v>57</v>
      </c>
      <c r="AD110" s="2">
        <v>0</v>
      </c>
    </row>
    <row r="111" spans="1:30" ht="30" x14ac:dyDescent="0.25">
      <c r="A111" s="2">
        <v>5</v>
      </c>
      <c r="B111" s="2" t="s">
        <v>49</v>
      </c>
      <c r="C111" s="2">
        <v>736</v>
      </c>
      <c r="D111" s="3">
        <v>44466</v>
      </c>
      <c r="E111" s="2" t="s">
        <v>432</v>
      </c>
      <c r="F111" s="2"/>
      <c r="G111" s="2" t="s">
        <v>74</v>
      </c>
      <c r="H111" s="2" t="s">
        <v>433</v>
      </c>
      <c r="I111" s="2" t="s">
        <v>51</v>
      </c>
      <c r="J111" s="3">
        <v>41822</v>
      </c>
      <c r="K111" s="2">
        <v>530</v>
      </c>
      <c r="L111" s="2"/>
      <c r="M111" s="2">
        <v>209</v>
      </c>
      <c r="N111" s="2">
        <v>180</v>
      </c>
      <c r="O111" s="2" t="s">
        <v>6</v>
      </c>
      <c r="P111" s="2"/>
      <c r="Q111" s="2"/>
      <c r="R111" s="2" t="s">
        <v>53</v>
      </c>
      <c r="S111" s="2">
        <v>8210302201</v>
      </c>
      <c r="T111" s="2" t="s">
        <v>434</v>
      </c>
      <c r="U111" s="2"/>
      <c r="V111" s="2">
        <v>6378061759</v>
      </c>
      <c r="W111" s="2" t="s">
        <v>201</v>
      </c>
      <c r="X111" s="2">
        <v>80000</v>
      </c>
      <c r="Y111" s="2" t="s">
        <v>55</v>
      </c>
      <c r="Z111" s="2" t="s">
        <v>55</v>
      </c>
      <c r="AA111" s="2"/>
      <c r="AB111" s="2">
        <v>11</v>
      </c>
      <c r="AC111" s="2" t="s">
        <v>57</v>
      </c>
      <c r="AD111" s="2">
        <v>0</v>
      </c>
    </row>
    <row r="112" spans="1:30" ht="30" x14ac:dyDescent="0.25">
      <c r="A112" s="2">
        <v>5</v>
      </c>
      <c r="B112" s="2" t="s">
        <v>49</v>
      </c>
      <c r="C112" s="2">
        <v>609</v>
      </c>
      <c r="D112" s="3">
        <v>44034</v>
      </c>
      <c r="E112" s="2" t="s">
        <v>435</v>
      </c>
      <c r="F112" s="2"/>
      <c r="G112" s="2" t="s">
        <v>415</v>
      </c>
      <c r="H112" s="2" t="s">
        <v>416</v>
      </c>
      <c r="I112" s="2" t="s">
        <v>51</v>
      </c>
      <c r="J112" s="3">
        <v>41640</v>
      </c>
      <c r="K112" s="2">
        <v>531</v>
      </c>
      <c r="L112" s="2"/>
      <c r="M112" s="2">
        <v>209</v>
      </c>
      <c r="N112" s="2">
        <v>178</v>
      </c>
      <c r="O112" s="2" t="s">
        <v>5</v>
      </c>
      <c r="P112" s="2" t="s">
        <v>52</v>
      </c>
      <c r="Q112" s="2"/>
      <c r="R112" s="2" t="s">
        <v>53</v>
      </c>
      <c r="S112" s="2">
        <v>8210302201</v>
      </c>
      <c r="T112" s="2" t="s">
        <v>436</v>
      </c>
      <c r="U112" s="2"/>
      <c r="V112" s="2">
        <v>7742460176</v>
      </c>
      <c r="W112" s="2" t="s">
        <v>214</v>
      </c>
      <c r="X112" s="2">
        <v>0</v>
      </c>
      <c r="Y112" s="2" t="s">
        <v>55</v>
      </c>
      <c r="Z112" s="2" t="s">
        <v>55</v>
      </c>
      <c r="AA112" s="2" t="s">
        <v>56</v>
      </c>
      <c r="AB112" s="2">
        <v>11</v>
      </c>
      <c r="AC112" s="2" t="s">
        <v>57</v>
      </c>
      <c r="AD112" s="2">
        <v>0</v>
      </c>
    </row>
    <row r="113" spans="1:30" ht="30" x14ac:dyDescent="0.25">
      <c r="A113" s="2">
        <v>5</v>
      </c>
      <c r="B113" s="2" t="s">
        <v>49</v>
      </c>
      <c r="C113" s="2">
        <v>613</v>
      </c>
      <c r="D113" s="3">
        <v>44043</v>
      </c>
      <c r="E113" s="2" t="s">
        <v>437</v>
      </c>
      <c r="F113" s="2"/>
      <c r="G113" s="2" t="s">
        <v>438</v>
      </c>
      <c r="H113" s="2" t="s">
        <v>439</v>
      </c>
      <c r="I113" s="2" t="s">
        <v>67</v>
      </c>
      <c r="J113" s="3">
        <v>41454</v>
      </c>
      <c r="K113" s="2">
        <v>532</v>
      </c>
      <c r="L113" s="2"/>
      <c r="M113" s="2">
        <v>209</v>
      </c>
      <c r="N113" s="2">
        <v>184</v>
      </c>
      <c r="O113" s="2" t="s">
        <v>4</v>
      </c>
      <c r="P113" s="2" t="s">
        <v>52</v>
      </c>
      <c r="Q113" s="2"/>
      <c r="R113" s="2" t="s">
        <v>53</v>
      </c>
      <c r="S113" s="2">
        <v>8210302201</v>
      </c>
      <c r="T113" s="2" t="s">
        <v>440</v>
      </c>
      <c r="U113" s="2"/>
      <c r="V113" s="2">
        <v>9950026559</v>
      </c>
      <c r="W113" s="2" t="s">
        <v>214</v>
      </c>
      <c r="X113" s="2">
        <v>50000</v>
      </c>
      <c r="Y113" s="2" t="s">
        <v>55</v>
      </c>
      <c r="Z113" s="2" t="s">
        <v>55</v>
      </c>
      <c r="AA113" s="2" t="s">
        <v>56</v>
      </c>
      <c r="AB113" s="2">
        <v>12</v>
      </c>
      <c r="AC113" s="2" t="s">
        <v>57</v>
      </c>
      <c r="AD113" s="2">
        <v>0</v>
      </c>
    </row>
    <row r="114" spans="1:30" ht="30" x14ac:dyDescent="0.25">
      <c r="A114" s="2">
        <v>5</v>
      </c>
      <c r="B114" s="2" t="s">
        <v>49</v>
      </c>
      <c r="C114" s="2">
        <v>667</v>
      </c>
      <c r="D114" s="3">
        <v>44254</v>
      </c>
      <c r="E114" s="2" t="s">
        <v>441</v>
      </c>
      <c r="F114" s="2"/>
      <c r="G114" s="2" t="s">
        <v>442</v>
      </c>
      <c r="H114" s="2" t="s">
        <v>443</v>
      </c>
      <c r="I114" s="2" t="s">
        <v>67</v>
      </c>
      <c r="J114" s="3">
        <v>42261</v>
      </c>
      <c r="K114" s="2">
        <v>533</v>
      </c>
      <c r="L114" s="2"/>
      <c r="M114" s="2">
        <v>209</v>
      </c>
      <c r="N114" s="2">
        <v>185</v>
      </c>
      <c r="O114" s="2" t="s">
        <v>6</v>
      </c>
      <c r="P114" s="2"/>
      <c r="Q114" s="2"/>
      <c r="R114" s="2" t="s">
        <v>53</v>
      </c>
      <c r="S114" s="2">
        <v>8210302201</v>
      </c>
      <c r="T114" s="2" t="s">
        <v>444</v>
      </c>
      <c r="U114" s="2"/>
      <c r="V114" s="2">
        <v>9784721968</v>
      </c>
      <c r="W114" s="2" t="s">
        <v>201</v>
      </c>
      <c r="X114" s="2">
        <v>80000</v>
      </c>
      <c r="Y114" s="2" t="s">
        <v>55</v>
      </c>
      <c r="Z114" s="2" t="s">
        <v>55</v>
      </c>
      <c r="AA114" s="2"/>
      <c r="AB114" s="2">
        <v>10</v>
      </c>
      <c r="AC114" s="2" t="s">
        <v>57</v>
      </c>
      <c r="AD114" s="2">
        <v>0</v>
      </c>
    </row>
    <row r="115" spans="1:30" ht="30" x14ac:dyDescent="0.25">
      <c r="A115" s="2">
        <v>5</v>
      </c>
      <c r="B115" s="2" t="s">
        <v>49</v>
      </c>
      <c r="C115" s="2">
        <v>612</v>
      </c>
      <c r="D115" s="3">
        <v>44039</v>
      </c>
      <c r="E115" s="2" t="s">
        <v>445</v>
      </c>
      <c r="F115" s="2"/>
      <c r="G115" s="2" t="s">
        <v>446</v>
      </c>
      <c r="H115" s="2" t="s">
        <v>447</v>
      </c>
      <c r="I115" s="2" t="s">
        <v>67</v>
      </c>
      <c r="J115" s="3">
        <v>42194</v>
      </c>
      <c r="K115" s="2">
        <v>534</v>
      </c>
      <c r="L115" s="2"/>
      <c r="M115" s="2">
        <v>209</v>
      </c>
      <c r="N115" s="2">
        <v>184</v>
      </c>
      <c r="O115" s="2" t="s">
        <v>6</v>
      </c>
      <c r="P115" s="2" t="s">
        <v>52</v>
      </c>
      <c r="Q115" s="2"/>
      <c r="R115" s="2" t="s">
        <v>53</v>
      </c>
      <c r="S115" s="2">
        <v>8210302201</v>
      </c>
      <c r="T115" s="2" t="s">
        <v>448</v>
      </c>
      <c r="U115" s="2"/>
      <c r="V115" s="2">
        <v>9461508457</v>
      </c>
      <c r="W115" s="2" t="s">
        <v>214</v>
      </c>
      <c r="X115" s="2">
        <v>50000</v>
      </c>
      <c r="Y115" s="2" t="s">
        <v>55</v>
      </c>
      <c r="Z115" s="2" t="s">
        <v>55</v>
      </c>
      <c r="AA115" s="2" t="s">
        <v>56</v>
      </c>
      <c r="AB115" s="2">
        <v>10</v>
      </c>
      <c r="AC115" s="2" t="s">
        <v>57</v>
      </c>
      <c r="AD115" s="2">
        <v>0</v>
      </c>
    </row>
    <row r="116" spans="1:30" ht="30" x14ac:dyDescent="0.25">
      <c r="A116" s="2">
        <v>6</v>
      </c>
      <c r="B116" s="2" t="s">
        <v>49</v>
      </c>
      <c r="C116" s="2">
        <v>546</v>
      </c>
      <c r="D116" s="3">
        <v>43649</v>
      </c>
      <c r="E116" s="2" t="s">
        <v>449</v>
      </c>
      <c r="F116" s="2"/>
      <c r="G116" s="2" t="s">
        <v>450</v>
      </c>
      <c r="H116" s="2" t="s">
        <v>451</v>
      </c>
      <c r="I116" s="2" t="s">
        <v>67</v>
      </c>
      <c r="J116" s="3">
        <v>41370</v>
      </c>
      <c r="K116" s="2">
        <v>601</v>
      </c>
      <c r="L116" s="2"/>
      <c r="M116" s="2">
        <v>210</v>
      </c>
      <c r="N116" s="2">
        <v>171</v>
      </c>
      <c r="O116" s="2" t="s">
        <v>6</v>
      </c>
      <c r="P116" s="2" t="s">
        <v>52</v>
      </c>
      <c r="Q116" s="2"/>
      <c r="R116" s="2" t="s">
        <v>53</v>
      </c>
      <c r="S116" s="2">
        <v>8210302201</v>
      </c>
      <c r="T116" s="2" t="s">
        <v>452</v>
      </c>
      <c r="U116" s="2" t="s">
        <v>453</v>
      </c>
      <c r="V116" s="2">
        <v>6376959531</v>
      </c>
      <c r="W116" s="2" t="s">
        <v>454</v>
      </c>
      <c r="X116" s="2">
        <v>50000</v>
      </c>
      <c r="Y116" s="2" t="s">
        <v>55</v>
      </c>
      <c r="Z116" s="2" t="s">
        <v>55</v>
      </c>
      <c r="AA116" s="2" t="s">
        <v>56</v>
      </c>
      <c r="AB116" s="2">
        <v>12</v>
      </c>
      <c r="AC116" s="2" t="s">
        <v>57</v>
      </c>
      <c r="AD116" s="2">
        <v>3</v>
      </c>
    </row>
    <row r="117" spans="1:30" ht="30" x14ac:dyDescent="0.25">
      <c r="A117" s="2">
        <v>6</v>
      </c>
      <c r="B117" s="2" t="s">
        <v>49</v>
      </c>
      <c r="C117" s="2">
        <v>660</v>
      </c>
      <c r="D117" s="3">
        <v>44221</v>
      </c>
      <c r="E117" s="2" t="s">
        <v>202</v>
      </c>
      <c r="F117" s="2"/>
      <c r="G117" s="2" t="s">
        <v>347</v>
      </c>
      <c r="H117" s="2" t="s">
        <v>455</v>
      </c>
      <c r="I117" s="2" t="s">
        <v>51</v>
      </c>
      <c r="J117" s="3">
        <v>41178</v>
      </c>
      <c r="K117" s="2">
        <v>602</v>
      </c>
      <c r="L117" s="2"/>
      <c r="M117" s="2">
        <v>210</v>
      </c>
      <c r="N117" s="2">
        <v>170</v>
      </c>
      <c r="O117" s="2" t="s">
        <v>6</v>
      </c>
      <c r="P117" s="2" t="s">
        <v>52</v>
      </c>
      <c r="Q117" s="2"/>
      <c r="R117" s="2" t="s">
        <v>53</v>
      </c>
      <c r="S117" s="2">
        <v>8210302201</v>
      </c>
      <c r="T117" s="2" t="s">
        <v>456</v>
      </c>
      <c r="U117" s="2"/>
      <c r="V117" s="2">
        <v>9799550125</v>
      </c>
      <c r="W117" s="2" t="s">
        <v>201</v>
      </c>
      <c r="X117" s="2">
        <v>80000</v>
      </c>
      <c r="Y117" s="2" t="s">
        <v>55</v>
      </c>
      <c r="Z117" s="2" t="s">
        <v>55</v>
      </c>
      <c r="AA117" s="2" t="s">
        <v>56</v>
      </c>
      <c r="AB117" s="2">
        <v>13</v>
      </c>
      <c r="AC117" s="2" t="s">
        <v>57</v>
      </c>
      <c r="AD117" s="2">
        <v>3</v>
      </c>
    </row>
    <row r="118" spans="1:30" ht="30" x14ac:dyDescent="0.25">
      <c r="A118" s="2">
        <v>6</v>
      </c>
      <c r="B118" s="2" t="s">
        <v>49</v>
      </c>
      <c r="C118" s="2">
        <v>659</v>
      </c>
      <c r="D118" s="3">
        <v>44221</v>
      </c>
      <c r="E118" s="2" t="s">
        <v>457</v>
      </c>
      <c r="F118" s="2"/>
      <c r="G118" s="2" t="s">
        <v>458</v>
      </c>
      <c r="H118" s="2" t="s">
        <v>459</v>
      </c>
      <c r="I118" s="2" t="s">
        <v>51</v>
      </c>
      <c r="J118" s="3">
        <v>41317</v>
      </c>
      <c r="K118" s="2">
        <v>603</v>
      </c>
      <c r="L118" s="2"/>
      <c r="M118" s="2">
        <v>210</v>
      </c>
      <c r="N118" s="2">
        <v>174</v>
      </c>
      <c r="O118" s="2" t="s">
        <v>6</v>
      </c>
      <c r="P118" s="2"/>
      <c r="Q118" s="2"/>
      <c r="R118" s="2" t="s">
        <v>53</v>
      </c>
      <c r="S118" s="2">
        <v>8210302201</v>
      </c>
      <c r="T118" s="2" t="s">
        <v>460</v>
      </c>
      <c r="U118" s="2"/>
      <c r="V118" s="2">
        <v>9928265756</v>
      </c>
      <c r="W118" s="2" t="s">
        <v>461</v>
      </c>
      <c r="X118" s="2">
        <v>80000</v>
      </c>
      <c r="Y118" s="2" t="s">
        <v>55</v>
      </c>
      <c r="Z118" s="2" t="s">
        <v>55</v>
      </c>
      <c r="AA118" s="2"/>
      <c r="AB118" s="2">
        <v>12</v>
      </c>
      <c r="AC118" s="2" t="s">
        <v>57</v>
      </c>
      <c r="AD118" s="2">
        <v>3</v>
      </c>
    </row>
    <row r="119" spans="1:30" ht="30" x14ac:dyDescent="0.25">
      <c r="A119" s="2">
        <v>6</v>
      </c>
      <c r="B119" s="2" t="s">
        <v>49</v>
      </c>
      <c r="C119" s="2">
        <v>556</v>
      </c>
      <c r="D119" s="3">
        <v>43652</v>
      </c>
      <c r="E119" s="2" t="s">
        <v>462</v>
      </c>
      <c r="F119" s="2"/>
      <c r="G119" s="2" t="s">
        <v>463</v>
      </c>
      <c r="H119" s="2" t="s">
        <v>464</v>
      </c>
      <c r="I119" s="2" t="s">
        <v>67</v>
      </c>
      <c r="J119" s="3">
        <v>41430</v>
      </c>
      <c r="K119" s="2">
        <v>604</v>
      </c>
      <c r="L119" s="2"/>
      <c r="M119" s="2">
        <v>210</v>
      </c>
      <c r="N119" s="2">
        <v>177</v>
      </c>
      <c r="O119" s="2" t="s">
        <v>6</v>
      </c>
      <c r="P119" s="2" t="s">
        <v>52</v>
      </c>
      <c r="Q119" s="2"/>
      <c r="R119" s="2" t="s">
        <v>53</v>
      </c>
      <c r="S119" s="2">
        <v>8210302201</v>
      </c>
      <c r="T119" s="2" t="s">
        <v>465</v>
      </c>
      <c r="U119" s="2" t="s">
        <v>466</v>
      </c>
      <c r="V119" s="2">
        <v>8290807651</v>
      </c>
      <c r="W119" s="2" t="s">
        <v>467</v>
      </c>
      <c r="X119" s="2">
        <v>66000</v>
      </c>
      <c r="Y119" s="2" t="s">
        <v>55</v>
      </c>
      <c r="Z119" s="2" t="s">
        <v>55</v>
      </c>
      <c r="AA119" s="2" t="s">
        <v>56</v>
      </c>
      <c r="AB119" s="2">
        <v>12</v>
      </c>
      <c r="AC119" s="2" t="s">
        <v>57</v>
      </c>
      <c r="AD119" s="2">
        <v>0</v>
      </c>
    </row>
    <row r="120" spans="1:30" ht="30" x14ac:dyDescent="0.25">
      <c r="A120" s="2">
        <v>6</v>
      </c>
      <c r="B120" s="2" t="s">
        <v>49</v>
      </c>
      <c r="C120" s="2">
        <v>458</v>
      </c>
      <c r="D120" s="3">
        <v>43274</v>
      </c>
      <c r="E120" s="2" t="s">
        <v>468</v>
      </c>
      <c r="F120" s="2"/>
      <c r="G120" s="2" t="s">
        <v>469</v>
      </c>
      <c r="H120" s="2" t="s">
        <v>470</v>
      </c>
      <c r="I120" s="2" t="s">
        <v>67</v>
      </c>
      <c r="J120" s="3">
        <v>41317</v>
      </c>
      <c r="K120" s="2">
        <v>605</v>
      </c>
      <c r="L120" s="2"/>
      <c r="M120" s="2">
        <v>210</v>
      </c>
      <c r="N120" s="2">
        <v>181</v>
      </c>
      <c r="O120" s="2" t="s">
        <v>6</v>
      </c>
      <c r="P120" s="2" t="s">
        <v>52</v>
      </c>
      <c r="Q120" s="2"/>
      <c r="R120" s="2" t="s">
        <v>53</v>
      </c>
      <c r="S120" s="2">
        <v>8210302201</v>
      </c>
      <c r="T120" s="2" t="s">
        <v>471</v>
      </c>
      <c r="U120" s="2"/>
      <c r="V120" s="2">
        <v>9460361075</v>
      </c>
      <c r="W120" s="2" t="s">
        <v>472</v>
      </c>
      <c r="X120" s="2">
        <v>60000</v>
      </c>
      <c r="Y120" s="2" t="s">
        <v>55</v>
      </c>
      <c r="Z120" s="2" t="s">
        <v>55</v>
      </c>
      <c r="AA120" s="2" t="s">
        <v>56</v>
      </c>
      <c r="AB120" s="2">
        <v>12</v>
      </c>
      <c r="AC120" s="2" t="s">
        <v>57</v>
      </c>
      <c r="AD120" s="2">
        <v>0</v>
      </c>
    </row>
    <row r="121" spans="1:30" ht="30" x14ac:dyDescent="0.25">
      <c r="A121" s="2">
        <v>6</v>
      </c>
      <c r="B121" s="2" t="s">
        <v>49</v>
      </c>
      <c r="C121" s="2">
        <v>603</v>
      </c>
      <c r="D121" s="3">
        <v>43804</v>
      </c>
      <c r="E121" s="2" t="s">
        <v>473</v>
      </c>
      <c r="F121" s="2"/>
      <c r="G121" s="2" t="s">
        <v>474</v>
      </c>
      <c r="H121" s="2" t="s">
        <v>475</v>
      </c>
      <c r="I121" s="2" t="s">
        <v>67</v>
      </c>
      <c r="J121" s="3">
        <v>41711</v>
      </c>
      <c r="K121" s="2">
        <v>606</v>
      </c>
      <c r="L121" s="2"/>
      <c r="M121" s="2">
        <v>210</v>
      </c>
      <c r="N121" s="2">
        <v>180</v>
      </c>
      <c r="O121" s="2" t="s">
        <v>6</v>
      </c>
      <c r="P121" s="2"/>
      <c r="Q121" s="2"/>
      <c r="R121" s="2" t="s">
        <v>53</v>
      </c>
      <c r="S121" s="2">
        <v>8210302201</v>
      </c>
      <c r="T121" s="2" t="s">
        <v>476</v>
      </c>
      <c r="U121" s="2"/>
      <c r="V121" s="2">
        <v>9636679743</v>
      </c>
      <c r="W121" s="2" t="s">
        <v>201</v>
      </c>
      <c r="X121" s="2">
        <v>60000</v>
      </c>
      <c r="Y121" s="2" t="s">
        <v>55</v>
      </c>
      <c r="Z121" s="2" t="s">
        <v>55</v>
      </c>
      <c r="AA121" s="2"/>
      <c r="AB121" s="2">
        <v>11</v>
      </c>
      <c r="AC121" s="2" t="s">
        <v>57</v>
      </c>
      <c r="AD121" s="2">
        <v>0</v>
      </c>
    </row>
    <row r="122" spans="1:30" ht="45" x14ac:dyDescent="0.25">
      <c r="A122" s="2">
        <v>6</v>
      </c>
      <c r="B122" s="2" t="s">
        <v>49</v>
      </c>
      <c r="C122" s="2">
        <v>908</v>
      </c>
      <c r="D122" s="3">
        <v>45498</v>
      </c>
      <c r="E122" s="2" t="s">
        <v>477</v>
      </c>
      <c r="F122" s="2"/>
      <c r="G122" s="2" t="s">
        <v>478</v>
      </c>
      <c r="H122" s="2" t="s">
        <v>332</v>
      </c>
      <c r="I122" s="2" t="s">
        <v>51</v>
      </c>
      <c r="J122" s="3">
        <v>41640</v>
      </c>
      <c r="K122" s="2">
        <v>607</v>
      </c>
      <c r="L122" s="2"/>
      <c r="M122" s="2">
        <v>210</v>
      </c>
      <c r="N122" s="2">
        <v>158</v>
      </c>
      <c r="O122" s="2" t="s">
        <v>5</v>
      </c>
      <c r="P122" s="2"/>
      <c r="Q122" s="2"/>
      <c r="R122" s="2" t="s">
        <v>53</v>
      </c>
      <c r="S122" s="2">
        <v>8210302201</v>
      </c>
      <c r="T122" s="2"/>
      <c r="U122" s="2"/>
      <c r="V122" s="2">
        <v>9799341664</v>
      </c>
      <c r="W122" s="2" t="s">
        <v>479</v>
      </c>
      <c r="X122" s="2">
        <v>0</v>
      </c>
      <c r="Y122" s="2" t="s">
        <v>55</v>
      </c>
      <c r="Z122" s="2" t="s">
        <v>55</v>
      </c>
      <c r="AA122" s="2"/>
      <c r="AB122" s="2">
        <v>11</v>
      </c>
      <c r="AC122" s="2" t="s">
        <v>57</v>
      </c>
      <c r="AD122" s="2">
        <v>4</v>
      </c>
    </row>
    <row r="123" spans="1:30" ht="30" x14ac:dyDescent="0.25">
      <c r="A123" s="2">
        <v>6</v>
      </c>
      <c r="B123" s="2" t="s">
        <v>49</v>
      </c>
      <c r="C123" s="2">
        <v>560</v>
      </c>
      <c r="D123" s="3">
        <v>43654</v>
      </c>
      <c r="E123" s="2" t="s">
        <v>480</v>
      </c>
      <c r="F123" s="2"/>
      <c r="G123" s="2" t="s">
        <v>481</v>
      </c>
      <c r="H123" s="2" t="s">
        <v>482</v>
      </c>
      <c r="I123" s="2" t="s">
        <v>67</v>
      </c>
      <c r="J123" s="3">
        <v>41159</v>
      </c>
      <c r="K123" s="2">
        <v>608</v>
      </c>
      <c r="L123" s="2"/>
      <c r="M123" s="2">
        <v>210</v>
      </c>
      <c r="N123" s="2">
        <v>183</v>
      </c>
      <c r="O123" s="2" t="s">
        <v>6</v>
      </c>
      <c r="P123" s="2" t="s">
        <v>52</v>
      </c>
      <c r="Q123" s="2"/>
      <c r="R123" s="2" t="s">
        <v>53</v>
      </c>
      <c r="S123" s="2">
        <v>8210302201</v>
      </c>
      <c r="T123" s="2" t="s">
        <v>483</v>
      </c>
      <c r="U123" s="2" t="s">
        <v>484</v>
      </c>
      <c r="V123" s="2">
        <v>9999999999</v>
      </c>
      <c r="W123" s="2" t="s">
        <v>485</v>
      </c>
      <c r="X123" s="2">
        <v>48000</v>
      </c>
      <c r="Y123" s="2" t="s">
        <v>55</v>
      </c>
      <c r="Z123" s="2" t="s">
        <v>55</v>
      </c>
      <c r="AA123" s="2" t="s">
        <v>56</v>
      </c>
      <c r="AB123" s="2">
        <v>13</v>
      </c>
      <c r="AC123" s="2" t="s">
        <v>57</v>
      </c>
      <c r="AD123" s="2">
        <v>0</v>
      </c>
    </row>
    <row r="124" spans="1:30" ht="45" x14ac:dyDescent="0.25">
      <c r="A124" s="2">
        <v>6</v>
      </c>
      <c r="B124" s="2" t="s">
        <v>49</v>
      </c>
      <c r="C124" s="2">
        <v>891</v>
      </c>
      <c r="D124" s="3">
        <v>45486</v>
      </c>
      <c r="E124" s="2" t="s">
        <v>486</v>
      </c>
      <c r="F124" s="2"/>
      <c r="G124" s="2" t="s">
        <v>487</v>
      </c>
      <c r="H124" s="2" t="s">
        <v>488</v>
      </c>
      <c r="I124" s="2" t="s">
        <v>51</v>
      </c>
      <c r="J124" s="3">
        <v>41610</v>
      </c>
      <c r="K124" s="2">
        <v>609</v>
      </c>
      <c r="L124" s="2"/>
      <c r="M124" s="2">
        <v>210</v>
      </c>
      <c r="N124" s="2">
        <v>165</v>
      </c>
      <c r="O124" s="2" t="s">
        <v>5</v>
      </c>
      <c r="P124" s="2" t="s">
        <v>52</v>
      </c>
      <c r="Q124" s="2"/>
      <c r="R124" s="2" t="s">
        <v>53</v>
      </c>
      <c r="S124" s="2">
        <v>8210302201</v>
      </c>
      <c r="T124" s="2" t="s">
        <v>489</v>
      </c>
      <c r="U124" s="2"/>
      <c r="V124" s="2">
        <v>8302060752</v>
      </c>
      <c r="W124" s="2" t="s">
        <v>490</v>
      </c>
      <c r="X124" s="2">
        <v>0</v>
      </c>
      <c r="Y124" s="2" t="s">
        <v>55</v>
      </c>
      <c r="Z124" s="2" t="s">
        <v>55</v>
      </c>
      <c r="AA124" s="2" t="s">
        <v>56</v>
      </c>
      <c r="AB124" s="2">
        <v>12</v>
      </c>
      <c r="AC124" s="2" t="s">
        <v>57</v>
      </c>
      <c r="AD124" s="2">
        <v>4</v>
      </c>
    </row>
    <row r="125" spans="1:30" ht="30" x14ac:dyDescent="0.25">
      <c r="A125" s="2">
        <v>6</v>
      </c>
      <c r="B125" s="2" t="s">
        <v>49</v>
      </c>
      <c r="C125" s="2">
        <v>716</v>
      </c>
      <c r="D125" s="3">
        <v>44413</v>
      </c>
      <c r="E125" s="2" t="s">
        <v>491</v>
      </c>
      <c r="F125" s="2"/>
      <c r="G125" s="2" t="s">
        <v>492</v>
      </c>
      <c r="H125" s="2" t="s">
        <v>493</v>
      </c>
      <c r="I125" s="2" t="s">
        <v>51</v>
      </c>
      <c r="J125" s="3">
        <v>41255</v>
      </c>
      <c r="K125" s="2">
        <v>610</v>
      </c>
      <c r="L125" s="2"/>
      <c r="M125" s="2">
        <v>210</v>
      </c>
      <c r="N125" s="2">
        <v>170</v>
      </c>
      <c r="O125" s="2" t="s">
        <v>6</v>
      </c>
      <c r="P125" s="2"/>
      <c r="Q125" s="2"/>
      <c r="R125" s="2" t="s">
        <v>53</v>
      </c>
      <c r="S125" s="2">
        <v>8210302201</v>
      </c>
      <c r="T125" s="2" t="s">
        <v>494</v>
      </c>
      <c r="U125" s="2"/>
      <c r="V125" s="2">
        <v>9784100510</v>
      </c>
      <c r="W125" s="2" t="s">
        <v>201</v>
      </c>
      <c r="X125" s="2">
        <v>80000</v>
      </c>
      <c r="Y125" s="2" t="s">
        <v>55</v>
      </c>
      <c r="Z125" s="2" t="s">
        <v>55</v>
      </c>
      <c r="AA125" s="2"/>
      <c r="AB125" s="2">
        <v>13</v>
      </c>
      <c r="AC125" s="2" t="s">
        <v>57</v>
      </c>
      <c r="AD125" s="2">
        <v>0</v>
      </c>
    </row>
    <row r="126" spans="1:30" ht="30" x14ac:dyDescent="0.25">
      <c r="A126" s="2">
        <v>6</v>
      </c>
      <c r="B126" s="2" t="s">
        <v>49</v>
      </c>
      <c r="C126" s="2">
        <v>593</v>
      </c>
      <c r="D126" s="3">
        <v>43679</v>
      </c>
      <c r="E126" s="2" t="s">
        <v>495</v>
      </c>
      <c r="F126" s="2"/>
      <c r="G126" s="2" t="s">
        <v>496</v>
      </c>
      <c r="H126" s="2" t="s">
        <v>497</v>
      </c>
      <c r="I126" s="2" t="s">
        <v>51</v>
      </c>
      <c r="J126" s="3">
        <v>41555</v>
      </c>
      <c r="K126" s="2">
        <v>611</v>
      </c>
      <c r="L126" s="2"/>
      <c r="M126" s="2">
        <v>210</v>
      </c>
      <c r="N126" s="2">
        <v>184</v>
      </c>
      <c r="O126" s="2" t="s">
        <v>6</v>
      </c>
      <c r="P126" s="2" t="s">
        <v>52</v>
      </c>
      <c r="Q126" s="2"/>
      <c r="R126" s="2" t="s">
        <v>53</v>
      </c>
      <c r="S126" s="2">
        <v>8210302201</v>
      </c>
      <c r="T126" s="2" t="s">
        <v>498</v>
      </c>
      <c r="U126" s="2" t="s">
        <v>499</v>
      </c>
      <c r="V126" s="2">
        <v>9999999999</v>
      </c>
      <c r="W126" s="2" t="s">
        <v>500</v>
      </c>
      <c r="X126" s="2">
        <v>50000</v>
      </c>
      <c r="Y126" s="2" t="s">
        <v>55</v>
      </c>
      <c r="Z126" s="2" t="s">
        <v>55</v>
      </c>
      <c r="AA126" s="2" t="s">
        <v>56</v>
      </c>
      <c r="AB126" s="2">
        <v>12</v>
      </c>
      <c r="AC126" s="2" t="s">
        <v>57</v>
      </c>
      <c r="AD126" s="2">
        <v>3</v>
      </c>
    </row>
    <row r="127" spans="1:30" ht="30" x14ac:dyDescent="0.25">
      <c r="A127" s="2">
        <v>6</v>
      </c>
      <c r="B127" s="2" t="s">
        <v>49</v>
      </c>
      <c r="C127" s="2">
        <v>530</v>
      </c>
      <c r="D127" s="3">
        <v>43312</v>
      </c>
      <c r="E127" s="2" t="s">
        <v>501</v>
      </c>
      <c r="F127" s="2"/>
      <c r="G127" s="2" t="s">
        <v>502</v>
      </c>
      <c r="H127" s="2" t="s">
        <v>503</v>
      </c>
      <c r="I127" s="2" t="s">
        <v>67</v>
      </c>
      <c r="J127" s="3">
        <v>41218</v>
      </c>
      <c r="K127" s="2">
        <v>612</v>
      </c>
      <c r="L127" s="2"/>
      <c r="M127" s="2">
        <v>210</v>
      </c>
      <c r="N127" s="2">
        <v>181</v>
      </c>
      <c r="O127" s="2" t="s">
        <v>6</v>
      </c>
      <c r="P127" s="2" t="s">
        <v>52</v>
      </c>
      <c r="Q127" s="2"/>
      <c r="R127" s="2" t="s">
        <v>53</v>
      </c>
      <c r="S127" s="2">
        <v>8210302201</v>
      </c>
      <c r="T127" s="2" t="s">
        <v>504</v>
      </c>
      <c r="U127" s="2" t="s">
        <v>505</v>
      </c>
      <c r="V127" s="2">
        <v>9999999999</v>
      </c>
      <c r="W127" s="2" t="s">
        <v>472</v>
      </c>
      <c r="X127" s="2">
        <v>30000</v>
      </c>
      <c r="Y127" s="2" t="s">
        <v>55</v>
      </c>
      <c r="Z127" s="2" t="s">
        <v>55</v>
      </c>
      <c r="AA127" s="2" t="s">
        <v>56</v>
      </c>
      <c r="AB127" s="2">
        <v>13</v>
      </c>
      <c r="AC127" s="2" t="s">
        <v>57</v>
      </c>
      <c r="AD127" s="2">
        <v>0</v>
      </c>
    </row>
    <row r="128" spans="1:30" ht="30" x14ac:dyDescent="0.25">
      <c r="A128" s="2">
        <v>6</v>
      </c>
      <c r="B128" s="2" t="s">
        <v>49</v>
      </c>
      <c r="C128" s="2">
        <v>454</v>
      </c>
      <c r="D128" s="3">
        <v>43271</v>
      </c>
      <c r="E128" s="2" t="s">
        <v>506</v>
      </c>
      <c r="F128" s="2"/>
      <c r="G128" s="2" t="s">
        <v>507</v>
      </c>
      <c r="H128" s="2" t="s">
        <v>508</v>
      </c>
      <c r="I128" s="2" t="s">
        <v>67</v>
      </c>
      <c r="J128" s="3">
        <v>41242</v>
      </c>
      <c r="K128" s="2">
        <v>613</v>
      </c>
      <c r="L128" s="2"/>
      <c r="M128" s="2">
        <v>210</v>
      </c>
      <c r="N128" s="2">
        <v>180</v>
      </c>
      <c r="O128" s="2" t="s">
        <v>6</v>
      </c>
      <c r="P128" s="2" t="s">
        <v>52</v>
      </c>
      <c r="Q128" s="2"/>
      <c r="R128" s="2" t="s">
        <v>53</v>
      </c>
      <c r="S128" s="2">
        <v>8210302201</v>
      </c>
      <c r="T128" s="2" t="s">
        <v>509</v>
      </c>
      <c r="U128" s="2"/>
      <c r="V128" s="2">
        <v>9460361075</v>
      </c>
      <c r="W128" s="2" t="s">
        <v>472</v>
      </c>
      <c r="X128" s="2">
        <v>65000</v>
      </c>
      <c r="Y128" s="2" t="s">
        <v>55</v>
      </c>
      <c r="Z128" s="2" t="s">
        <v>55</v>
      </c>
      <c r="AA128" s="2" t="s">
        <v>56</v>
      </c>
      <c r="AB128" s="2">
        <v>13</v>
      </c>
      <c r="AC128" s="2" t="s">
        <v>57</v>
      </c>
      <c r="AD128" s="2">
        <v>0</v>
      </c>
    </row>
    <row r="129" spans="1:30" ht="30" x14ac:dyDescent="0.25">
      <c r="A129" s="2">
        <v>6</v>
      </c>
      <c r="B129" s="2" t="s">
        <v>49</v>
      </c>
      <c r="C129" s="2">
        <v>544</v>
      </c>
      <c r="D129" s="3">
        <v>43648</v>
      </c>
      <c r="E129" s="2" t="s">
        <v>510</v>
      </c>
      <c r="F129" s="2"/>
      <c r="G129" s="2" t="s">
        <v>511</v>
      </c>
      <c r="H129" s="2" t="s">
        <v>512</v>
      </c>
      <c r="I129" s="2" t="s">
        <v>67</v>
      </c>
      <c r="J129" s="3">
        <v>41267</v>
      </c>
      <c r="K129" s="2">
        <v>614</v>
      </c>
      <c r="L129" s="2"/>
      <c r="M129" s="2">
        <v>210</v>
      </c>
      <c r="N129" s="2">
        <v>180</v>
      </c>
      <c r="O129" s="2" t="s">
        <v>6</v>
      </c>
      <c r="P129" s="2" t="s">
        <v>52</v>
      </c>
      <c r="Q129" s="2"/>
      <c r="R129" s="2" t="s">
        <v>53</v>
      </c>
      <c r="S129" s="2">
        <v>8210302201</v>
      </c>
      <c r="T129" s="2" t="s">
        <v>513</v>
      </c>
      <c r="U129" s="2" t="s">
        <v>514</v>
      </c>
      <c r="V129" s="2">
        <v>7877098311</v>
      </c>
      <c r="W129" s="2" t="s">
        <v>515</v>
      </c>
      <c r="X129" s="2">
        <v>50000</v>
      </c>
      <c r="Y129" s="2" t="s">
        <v>55</v>
      </c>
      <c r="Z129" s="2" t="s">
        <v>55</v>
      </c>
      <c r="AA129" s="2" t="s">
        <v>56</v>
      </c>
      <c r="AB129" s="2">
        <v>13</v>
      </c>
      <c r="AC129" s="2" t="s">
        <v>57</v>
      </c>
      <c r="AD129" s="2">
        <v>3</v>
      </c>
    </row>
    <row r="130" spans="1:30" ht="45" x14ac:dyDescent="0.25">
      <c r="A130" s="2">
        <v>6</v>
      </c>
      <c r="B130" s="2" t="s">
        <v>49</v>
      </c>
      <c r="C130" s="2">
        <v>888</v>
      </c>
      <c r="D130" s="3">
        <v>45483</v>
      </c>
      <c r="E130" s="2" t="s">
        <v>516</v>
      </c>
      <c r="F130" s="2"/>
      <c r="G130" s="2" t="s">
        <v>517</v>
      </c>
      <c r="H130" s="2" t="s">
        <v>518</v>
      </c>
      <c r="I130" s="2" t="s">
        <v>51</v>
      </c>
      <c r="J130" s="3">
        <v>41714</v>
      </c>
      <c r="K130" s="2">
        <v>615</v>
      </c>
      <c r="L130" s="2"/>
      <c r="M130" s="2">
        <v>210</v>
      </c>
      <c r="N130" s="2">
        <v>156</v>
      </c>
      <c r="O130" s="2" t="s">
        <v>6</v>
      </c>
      <c r="P130" s="2"/>
      <c r="Q130" s="2"/>
      <c r="R130" s="2" t="s">
        <v>53</v>
      </c>
      <c r="S130" s="2">
        <v>8210302201</v>
      </c>
      <c r="T130" s="2" t="s">
        <v>519</v>
      </c>
      <c r="U130" s="2"/>
      <c r="V130" s="2">
        <v>9680248718</v>
      </c>
      <c r="W130" s="2" t="s">
        <v>520</v>
      </c>
      <c r="X130" s="2">
        <v>0</v>
      </c>
      <c r="Y130" s="2" t="s">
        <v>55</v>
      </c>
      <c r="Z130" s="2" t="s">
        <v>55</v>
      </c>
      <c r="AA130" s="2"/>
      <c r="AB130" s="2">
        <v>11</v>
      </c>
      <c r="AC130" s="2" t="s">
        <v>57</v>
      </c>
      <c r="AD130" s="2">
        <v>3</v>
      </c>
    </row>
    <row r="131" spans="1:30" ht="30" x14ac:dyDescent="0.25">
      <c r="A131" s="2">
        <v>6</v>
      </c>
      <c r="B131" s="2" t="s">
        <v>49</v>
      </c>
      <c r="C131" s="2">
        <v>592</v>
      </c>
      <c r="D131" s="3">
        <v>43679</v>
      </c>
      <c r="E131" s="2" t="s">
        <v>521</v>
      </c>
      <c r="F131" s="2"/>
      <c r="G131" s="2" t="s">
        <v>522</v>
      </c>
      <c r="H131" s="2" t="s">
        <v>523</v>
      </c>
      <c r="I131" s="2" t="s">
        <v>67</v>
      </c>
      <c r="J131" s="3">
        <v>41604</v>
      </c>
      <c r="K131" s="2">
        <v>616</v>
      </c>
      <c r="L131" s="2"/>
      <c r="M131" s="2">
        <v>210</v>
      </c>
      <c r="N131" s="2">
        <v>179</v>
      </c>
      <c r="O131" s="2" t="s">
        <v>6</v>
      </c>
      <c r="P131" s="2" t="s">
        <v>52</v>
      </c>
      <c r="Q131" s="2"/>
      <c r="R131" s="2" t="s">
        <v>53</v>
      </c>
      <c r="S131" s="2">
        <v>8210302201</v>
      </c>
      <c r="T131" s="2" t="s">
        <v>524</v>
      </c>
      <c r="U131" s="2" t="s">
        <v>525</v>
      </c>
      <c r="V131" s="2">
        <v>9999999999</v>
      </c>
      <c r="W131" s="2" t="s">
        <v>467</v>
      </c>
      <c r="X131" s="2">
        <v>40000</v>
      </c>
      <c r="Y131" s="2" t="s">
        <v>55</v>
      </c>
      <c r="Z131" s="2" t="s">
        <v>55</v>
      </c>
      <c r="AA131" s="2" t="s">
        <v>56</v>
      </c>
      <c r="AB131" s="2">
        <v>12</v>
      </c>
      <c r="AC131" s="2" t="s">
        <v>57</v>
      </c>
      <c r="AD131" s="2">
        <v>0</v>
      </c>
    </row>
    <row r="132" spans="1:30" ht="30" x14ac:dyDescent="0.25">
      <c r="A132" s="2">
        <v>6</v>
      </c>
      <c r="B132" s="2" t="s">
        <v>49</v>
      </c>
      <c r="C132" s="2">
        <v>598</v>
      </c>
      <c r="D132" s="3">
        <v>43699</v>
      </c>
      <c r="E132" s="2" t="s">
        <v>526</v>
      </c>
      <c r="F132" s="2"/>
      <c r="G132" s="2" t="s">
        <v>527</v>
      </c>
      <c r="H132" s="2" t="s">
        <v>528</v>
      </c>
      <c r="I132" s="2" t="s">
        <v>51</v>
      </c>
      <c r="J132" s="3">
        <v>41640</v>
      </c>
      <c r="K132" s="2">
        <v>617</v>
      </c>
      <c r="L132" s="2"/>
      <c r="M132" s="2">
        <v>210</v>
      </c>
      <c r="N132" s="2">
        <v>182</v>
      </c>
      <c r="O132" s="2" t="s">
        <v>6</v>
      </c>
      <c r="P132" s="2" t="s">
        <v>52</v>
      </c>
      <c r="Q132" s="2"/>
      <c r="R132" s="2" t="s">
        <v>53</v>
      </c>
      <c r="S132" s="2">
        <v>8210302201</v>
      </c>
      <c r="T132" s="2" t="s">
        <v>529</v>
      </c>
      <c r="U132" s="2"/>
      <c r="V132" s="2">
        <v>9001213489</v>
      </c>
      <c r="W132" s="2" t="s">
        <v>201</v>
      </c>
      <c r="X132" s="2">
        <v>60000</v>
      </c>
      <c r="Y132" s="2" t="s">
        <v>55</v>
      </c>
      <c r="Z132" s="2" t="s">
        <v>55</v>
      </c>
      <c r="AA132" s="2" t="s">
        <v>56</v>
      </c>
      <c r="AB132" s="2">
        <v>11</v>
      </c>
      <c r="AC132" s="2" t="s">
        <v>57</v>
      </c>
      <c r="AD132" s="2">
        <v>3</v>
      </c>
    </row>
    <row r="133" spans="1:30" ht="45" x14ac:dyDescent="0.25">
      <c r="A133" s="2">
        <v>6</v>
      </c>
      <c r="B133" s="2" t="s">
        <v>49</v>
      </c>
      <c r="C133" s="2">
        <v>889</v>
      </c>
      <c r="D133" s="3">
        <v>45486</v>
      </c>
      <c r="E133" s="2" t="s">
        <v>530</v>
      </c>
      <c r="F133" s="2"/>
      <c r="G133" s="2" t="s">
        <v>531</v>
      </c>
      <c r="H133" s="2" t="s">
        <v>427</v>
      </c>
      <c r="I133" s="2" t="s">
        <v>51</v>
      </c>
      <c r="J133" s="3">
        <v>41596</v>
      </c>
      <c r="K133" s="2">
        <v>618</v>
      </c>
      <c r="L133" s="2"/>
      <c r="M133" s="2">
        <v>210</v>
      </c>
      <c r="N133" s="2">
        <v>169</v>
      </c>
      <c r="O133" s="2" t="s">
        <v>4</v>
      </c>
      <c r="P133" s="2"/>
      <c r="Q133" s="2"/>
      <c r="R133" s="2" t="s">
        <v>53</v>
      </c>
      <c r="S133" s="2">
        <v>8210302201</v>
      </c>
      <c r="T133" s="2" t="s">
        <v>532</v>
      </c>
      <c r="U133" s="2"/>
      <c r="V133" s="2">
        <v>9680247925</v>
      </c>
      <c r="W133" s="2" t="s">
        <v>490</v>
      </c>
      <c r="X133" s="2">
        <v>0</v>
      </c>
      <c r="Y133" s="2" t="s">
        <v>55</v>
      </c>
      <c r="Z133" s="2" t="s">
        <v>55</v>
      </c>
      <c r="AA133" s="2"/>
      <c r="AB133" s="2">
        <v>12</v>
      </c>
      <c r="AC133" s="2" t="s">
        <v>57</v>
      </c>
      <c r="AD133" s="2">
        <v>1</v>
      </c>
    </row>
    <row r="134" spans="1:30" ht="30" x14ac:dyDescent="0.25">
      <c r="A134" s="2">
        <v>6</v>
      </c>
      <c r="B134" s="2" t="s">
        <v>49</v>
      </c>
      <c r="C134" s="2">
        <v>547</v>
      </c>
      <c r="D134" s="3">
        <v>43649</v>
      </c>
      <c r="E134" s="2" t="s">
        <v>533</v>
      </c>
      <c r="F134" s="2"/>
      <c r="G134" s="2" t="s">
        <v>534</v>
      </c>
      <c r="H134" s="2" t="s">
        <v>535</v>
      </c>
      <c r="I134" s="2" t="s">
        <v>51</v>
      </c>
      <c r="J134" s="3">
        <v>41508</v>
      </c>
      <c r="K134" s="2">
        <v>620</v>
      </c>
      <c r="L134" s="2"/>
      <c r="M134" s="2">
        <v>210</v>
      </c>
      <c r="N134" s="2">
        <v>175</v>
      </c>
      <c r="O134" s="2" t="s">
        <v>6</v>
      </c>
      <c r="P134" s="2" t="s">
        <v>52</v>
      </c>
      <c r="Q134" s="2"/>
      <c r="R134" s="2" t="s">
        <v>53</v>
      </c>
      <c r="S134" s="2">
        <v>8210302201</v>
      </c>
      <c r="T134" s="2" t="s">
        <v>299</v>
      </c>
      <c r="U134" s="2"/>
      <c r="V134" s="2">
        <v>9999999999</v>
      </c>
      <c r="W134" s="2" t="s">
        <v>467</v>
      </c>
      <c r="X134" s="2">
        <v>50000</v>
      </c>
      <c r="Y134" s="2" t="s">
        <v>55</v>
      </c>
      <c r="Z134" s="2" t="s">
        <v>55</v>
      </c>
      <c r="AA134" s="2" t="s">
        <v>56</v>
      </c>
      <c r="AB134" s="2">
        <v>12</v>
      </c>
      <c r="AC134" s="2" t="s">
        <v>57</v>
      </c>
      <c r="AD134" s="2">
        <v>0</v>
      </c>
    </row>
    <row r="135" spans="1:30" ht="30" x14ac:dyDescent="0.25">
      <c r="A135" s="2">
        <v>6</v>
      </c>
      <c r="B135" s="2" t="s">
        <v>49</v>
      </c>
      <c r="C135" s="2">
        <v>551</v>
      </c>
      <c r="D135" s="3">
        <v>43650</v>
      </c>
      <c r="E135" s="2" t="s">
        <v>533</v>
      </c>
      <c r="F135" s="2"/>
      <c r="G135" s="2" t="s">
        <v>536</v>
      </c>
      <c r="H135" s="2" t="s">
        <v>537</v>
      </c>
      <c r="I135" s="2" t="s">
        <v>51</v>
      </c>
      <c r="J135" s="3">
        <v>41461</v>
      </c>
      <c r="K135" s="2">
        <v>619</v>
      </c>
      <c r="L135" s="2"/>
      <c r="M135" s="2">
        <v>210</v>
      </c>
      <c r="N135" s="2">
        <v>173</v>
      </c>
      <c r="O135" s="2" t="s">
        <v>6</v>
      </c>
      <c r="P135" s="2" t="s">
        <v>52</v>
      </c>
      <c r="Q135" s="2"/>
      <c r="R135" s="2" t="s">
        <v>53</v>
      </c>
      <c r="S135" s="2">
        <v>8210302201</v>
      </c>
      <c r="T135" s="2" t="s">
        <v>538</v>
      </c>
      <c r="U135" s="2" t="s">
        <v>539</v>
      </c>
      <c r="V135" s="2">
        <v>9900000000</v>
      </c>
      <c r="W135" s="2" t="s">
        <v>467</v>
      </c>
      <c r="X135" s="2">
        <v>36000</v>
      </c>
      <c r="Y135" s="2" t="s">
        <v>55</v>
      </c>
      <c r="Z135" s="2" t="s">
        <v>55</v>
      </c>
      <c r="AA135" s="2" t="s">
        <v>56</v>
      </c>
      <c r="AB135" s="2">
        <v>12</v>
      </c>
      <c r="AC135" s="2" t="s">
        <v>57</v>
      </c>
      <c r="AD135" s="2">
        <v>0</v>
      </c>
    </row>
    <row r="136" spans="1:30" ht="30" x14ac:dyDescent="0.25">
      <c r="A136" s="2">
        <v>6</v>
      </c>
      <c r="B136" s="2" t="s">
        <v>49</v>
      </c>
      <c r="C136" s="2">
        <v>900</v>
      </c>
      <c r="D136" s="3">
        <v>45491</v>
      </c>
      <c r="E136" s="2" t="s">
        <v>540</v>
      </c>
      <c r="F136" s="2"/>
      <c r="G136" s="2" t="s">
        <v>541</v>
      </c>
      <c r="H136" s="2" t="s">
        <v>542</v>
      </c>
      <c r="I136" s="2" t="s">
        <v>67</v>
      </c>
      <c r="J136" s="3">
        <v>41410</v>
      </c>
      <c r="K136" s="2">
        <v>621</v>
      </c>
      <c r="L136" s="2"/>
      <c r="M136" s="2">
        <v>210</v>
      </c>
      <c r="N136" s="2">
        <v>164</v>
      </c>
      <c r="O136" s="2" t="s">
        <v>6</v>
      </c>
      <c r="P136" s="2" t="s">
        <v>543</v>
      </c>
      <c r="Q136" s="2"/>
      <c r="R136" s="2" t="s">
        <v>53</v>
      </c>
      <c r="S136" s="2">
        <v>8210302201</v>
      </c>
      <c r="T136" s="2" t="s">
        <v>544</v>
      </c>
      <c r="U136" s="2"/>
      <c r="V136" s="2">
        <v>7725960262</v>
      </c>
      <c r="W136" s="2" t="s">
        <v>545</v>
      </c>
      <c r="X136" s="2">
        <v>0</v>
      </c>
      <c r="Y136" s="2" t="s">
        <v>55</v>
      </c>
      <c r="Z136" s="2" t="s">
        <v>55</v>
      </c>
      <c r="AA136" s="2" t="s">
        <v>546</v>
      </c>
      <c r="AB136" s="2">
        <v>12</v>
      </c>
      <c r="AC136" s="2" t="s">
        <v>57</v>
      </c>
      <c r="AD136" s="2"/>
    </row>
    <row r="137" spans="1:30" ht="30" x14ac:dyDescent="0.25">
      <c r="A137" s="2">
        <v>6</v>
      </c>
      <c r="B137" s="2" t="s">
        <v>49</v>
      </c>
      <c r="C137" s="2">
        <v>572</v>
      </c>
      <c r="D137" s="3">
        <v>43661</v>
      </c>
      <c r="E137" s="2" t="s">
        <v>547</v>
      </c>
      <c r="F137" s="2"/>
      <c r="G137" s="2" t="s">
        <v>548</v>
      </c>
      <c r="H137" s="2" t="s">
        <v>549</v>
      </c>
      <c r="I137" s="2" t="s">
        <v>67</v>
      </c>
      <c r="J137" s="3">
        <v>41743</v>
      </c>
      <c r="K137" s="2">
        <v>622</v>
      </c>
      <c r="L137" s="2"/>
      <c r="M137" s="2">
        <v>210</v>
      </c>
      <c r="N137" s="2">
        <v>181</v>
      </c>
      <c r="O137" s="2" t="s">
        <v>6</v>
      </c>
      <c r="P137" s="2" t="s">
        <v>52</v>
      </c>
      <c r="Q137" s="2"/>
      <c r="R137" s="2" t="s">
        <v>53</v>
      </c>
      <c r="S137" s="2">
        <v>8210302201</v>
      </c>
      <c r="T137" s="2" t="s">
        <v>550</v>
      </c>
      <c r="U137" s="2" t="s">
        <v>551</v>
      </c>
      <c r="V137" s="2">
        <v>9950951302</v>
      </c>
      <c r="W137" s="2" t="s">
        <v>467</v>
      </c>
      <c r="X137" s="2">
        <v>70000</v>
      </c>
      <c r="Y137" s="2" t="s">
        <v>55</v>
      </c>
      <c r="Z137" s="2" t="s">
        <v>55</v>
      </c>
      <c r="AA137" s="2" t="s">
        <v>56</v>
      </c>
      <c r="AB137" s="2">
        <v>11</v>
      </c>
      <c r="AC137" s="2" t="s">
        <v>57</v>
      </c>
      <c r="AD137" s="2">
        <v>0</v>
      </c>
    </row>
    <row r="138" spans="1:30" ht="30" x14ac:dyDescent="0.25">
      <c r="A138" s="2">
        <v>6</v>
      </c>
      <c r="B138" s="2" t="s">
        <v>49</v>
      </c>
      <c r="C138" s="2">
        <v>467</v>
      </c>
      <c r="D138" s="3">
        <v>43283</v>
      </c>
      <c r="E138" s="2" t="s">
        <v>552</v>
      </c>
      <c r="F138" s="2"/>
      <c r="G138" s="2" t="s">
        <v>553</v>
      </c>
      <c r="H138" s="2" t="s">
        <v>554</v>
      </c>
      <c r="I138" s="2" t="s">
        <v>67</v>
      </c>
      <c r="J138" s="3">
        <v>41210</v>
      </c>
      <c r="K138" s="2">
        <v>623</v>
      </c>
      <c r="L138" s="2"/>
      <c r="M138" s="2">
        <v>210</v>
      </c>
      <c r="N138" s="2">
        <v>182</v>
      </c>
      <c r="O138" s="2" t="s">
        <v>4</v>
      </c>
      <c r="P138" s="2" t="s">
        <v>52</v>
      </c>
      <c r="Q138" s="2"/>
      <c r="R138" s="2" t="s">
        <v>53</v>
      </c>
      <c r="S138" s="2">
        <v>8210302201</v>
      </c>
      <c r="T138" s="2" t="s">
        <v>555</v>
      </c>
      <c r="U138" s="2" t="s">
        <v>556</v>
      </c>
      <c r="V138" s="2">
        <v>7297947571</v>
      </c>
      <c r="W138" s="2" t="s">
        <v>472</v>
      </c>
      <c r="X138" s="2">
        <v>50000</v>
      </c>
      <c r="Y138" s="2" t="s">
        <v>55</v>
      </c>
      <c r="Z138" s="2" t="s">
        <v>55</v>
      </c>
      <c r="AA138" s="2" t="s">
        <v>56</v>
      </c>
      <c r="AB138" s="2">
        <v>13</v>
      </c>
      <c r="AC138" s="2" t="s">
        <v>57</v>
      </c>
      <c r="AD138" s="2">
        <v>0</v>
      </c>
    </row>
    <row r="139" spans="1:30" ht="30" x14ac:dyDescent="0.25">
      <c r="A139" s="2">
        <v>6</v>
      </c>
      <c r="B139" s="2" t="s">
        <v>49</v>
      </c>
      <c r="C139" s="2">
        <v>541</v>
      </c>
      <c r="D139" s="3">
        <v>43591</v>
      </c>
      <c r="E139" s="2" t="s">
        <v>557</v>
      </c>
      <c r="F139" s="2"/>
      <c r="G139" s="2" t="s">
        <v>558</v>
      </c>
      <c r="H139" s="2" t="s">
        <v>559</v>
      </c>
      <c r="I139" s="2" t="s">
        <v>51</v>
      </c>
      <c r="J139" s="3">
        <v>41311</v>
      </c>
      <c r="K139" s="2">
        <v>624</v>
      </c>
      <c r="L139" s="2"/>
      <c r="M139" s="2">
        <v>210</v>
      </c>
      <c r="N139" s="2">
        <v>175</v>
      </c>
      <c r="O139" s="2" t="s">
        <v>6</v>
      </c>
      <c r="P139" s="2" t="s">
        <v>52</v>
      </c>
      <c r="Q139" s="2"/>
      <c r="R139" s="2" t="s">
        <v>53</v>
      </c>
      <c r="S139" s="2">
        <v>8210302201</v>
      </c>
      <c r="T139" s="2" t="s">
        <v>560</v>
      </c>
      <c r="U139" s="2" t="s">
        <v>561</v>
      </c>
      <c r="V139" s="2">
        <v>9636127232</v>
      </c>
      <c r="W139" s="2" t="s">
        <v>467</v>
      </c>
      <c r="X139" s="2">
        <v>50000</v>
      </c>
      <c r="Y139" s="2" t="s">
        <v>55</v>
      </c>
      <c r="Z139" s="2" t="s">
        <v>55</v>
      </c>
      <c r="AA139" s="2" t="s">
        <v>56</v>
      </c>
      <c r="AB139" s="2">
        <v>12</v>
      </c>
      <c r="AC139" s="2" t="s">
        <v>57</v>
      </c>
      <c r="AD139" s="2">
        <v>1</v>
      </c>
    </row>
    <row r="140" spans="1:30" ht="30" x14ac:dyDescent="0.25">
      <c r="A140" s="2">
        <v>6</v>
      </c>
      <c r="B140" s="2" t="s">
        <v>49</v>
      </c>
      <c r="C140" s="2">
        <v>573</v>
      </c>
      <c r="D140" s="3">
        <v>43662</v>
      </c>
      <c r="E140" s="2" t="s">
        <v>562</v>
      </c>
      <c r="F140" s="2"/>
      <c r="G140" s="2" t="s">
        <v>563</v>
      </c>
      <c r="H140" s="2" t="s">
        <v>508</v>
      </c>
      <c r="I140" s="2" t="s">
        <v>67</v>
      </c>
      <c r="J140" s="3">
        <v>41395</v>
      </c>
      <c r="K140" s="2">
        <v>625</v>
      </c>
      <c r="L140" s="2"/>
      <c r="M140" s="2">
        <v>210</v>
      </c>
      <c r="N140" s="2">
        <v>149</v>
      </c>
      <c r="O140" s="2" t="s">
        <v>6</v>
      </c>
      <c r="P140" s="2" t="s">
        <v>52</v>
      </c>
      <c r="Q140" s="2"/>
      <c r="R140" s="2" t="s">
        <v>53</v>
      </c>
      <c r="S140" s="2">
        <v>8210302201</v>
      </c>
      <c r="T140" s="2" t="s">
        <v>564</v>
      </c>
      <c r="U140" s="2" t="s">
        <v>565</v>
      </c>
      <c r="V140" s="2">
        <v>8003880308</v>
      </c>
      <c r="W140" s="2" t="s">
        <v>467</v>
      </c>
      <c r="X140" s="2">
        <v>60000</v>
      </c>
      <c r="Y140" s="2" t="s">
        <v>55</v>
      </c>
      <c r="Z140" s="2" t="s">
        <v>55</v>
      </c>
      <c r="AA140" s="2" t="s">
        <v>56</v>
      </c>
      <c r="AB140" s="2">
        <v>12</v>
      </c>
      <c r="AC140" s="2" t="s">
        <v>57</v>
      </c>
      <c r="AD140" s="2">
        <v>0</v>
      </c>
    </row>
    <row r="141" spans="1:30" ht="45" x14ac:dyDescent="0.25">
      <c r="A141" s="2">
        <v>6</v>
      </c>
      <c r="B141" s="2" t="s">
        <v>49</v>
      </c>
      <c r="C141" s="2">
        <v>919</v>
      </c>
      <c r="D141" s="3">
        <v>45524</v>
      </c>
      <c r="E141" s="2" t="s">
        <v>566</v>
      </c>
      <c r="F141" s="2"/>
      <c r="G141" s="2" t="s">
        <v>567</v>
      </c>
      <c r="H141" s="2" t="s">
        <v>568</v>
      </c>
      <c r="I141" s="2" t="s">
        <v>51</v>
      </c>
      <c r="J141" s="3">
        <v>41540</v>
      </c>
      <c r="K141" s="2">
        <v>626</v>
      </c>
      <c r="L141" s="2"/>
      <c r="M141" s="2">
        <v>210</v>
      </c>
      <c r="N141" s="2">
        <v>125</v>
      </c>
      <c r="O141" s="2" t="s">
        <v>5</v>
      </c>
      <c r="P141" s="2"/>
      <c r="Q141" s="2"/>
      <c r="R141" s="2" t="s">
        <v>53</v>
      </c>
      <c r="S141" s="2">
        <v>8210302201</v>
      </c>
      <c r="T141" s="2"/>
      <c r="U141" s="2"/>
      <c r="V141" s="2">
        <v>9257451750</v>
      </c>
      <c r="W141" s="2" t="s">
        <v>490</v>
      </c>
      <c r="X141" s="2">
        <v>0</v>
      </c>
      <c r="Y141" s="2" t="s">
        <v>55</v>
      </c>
      <c r="Z141" s="2" t="s">
        <v>55</v>
      </c>
      <c r="AA141" s="2"/>
      <c r="AB141" s="2">
        <v>12</v>
      </c>
      <c r="AC141" s="2" t="s">
        <v>57</v>
      </c>
      <c r="AD141" s="2">
        <v>3</v>
      </c>
    </row>
    <row r="142" spans="1:30" ht="30" x14ac:dyDescent="0.25">
      <c r="A142" s="2">
        <v>6</v>
      </c>
      <c r="B142" s="2" t="s">
        <v>49</v>
      </c>
      <c r="C142" s="2">
        <v>558</v>
      </c>
      <c r="D142" s="3">
        <v>43652</v>
      </c>
      <c r="E142" s="2" t="s">
        <v>569</v>
      </c>
      <c r="F142" s="2"/>
      <c r="G142" s="2" t="s">
        <v>570</v>
      </c>
      <c r="H142" s="2" t="s">
        <v>571</v>
      </c>
      <c r="I142" s="2" t="s">
        <v>67</v>
      </c>
      <c r="J142" s="3">
        <v>41375</v>
      </c>
      <c r="K142" s="2">
        <v>627</v>
      </c>
      <c r="L142" s="2"/>
      <c r="M142" s="2">
        <v>210</v>
      </c>
      <c r="N142" s="2">
        <v>178</v>
      </c>
      <c r="O142" s="2" t="s">
        <v>7</v>
      </c>
      <c r="P142" s="2" t="s">
        <v>52</v>
      </c>
      <c r="Q142" s="2"/>
      <c r="R142" s="2" t="s">
        <v>53</v>
      </c>
      <c r="S142" s="2">
        <v>8210302201</v>
      </c>
      <c r="T142" s="2" t="s">
        <v>572</v>
      </c>
      <c r="U142" s="2" t="s">
        <v>573</v>
      </c>
      <c r="V142" s="2">
        <v>9571593238</v>
      </c>
      <c r="W142" s="2" t="s">
        <v>574</v>
      </c>
      <c r="X142" s="2">
        <v>60000</v>
      </c>
      <c r="Y142" s="2" t="s">
        <v>55</v>
      </c>
      <c r="Z142" s="2" t="s">
        <v>55</v>
      </c>
      <c r="AA142" s="2" t="s">
        <v>56</v>
      </c>
      <c r="AB142" s="2">
        <v>12</v>
      </c>
      <c r="AC142" s="2" t="s">
        <v>57</v>
      </c>
      <c r="AD142" s="2">
        <v>0</v>
      </c>
    </row>
    <row r="143" spans="1:30" ht="30" x14ac:dyDescent="0.25">
      <c r="A143" s="2">
        <v>6</v>
      </c>
      <c r="B143" s="2" t="s">
        <v>49</v>
      </c>
      <c r="C143" s="2">
        <v>669</v>
      </c>
      <c r="D143" s="3">
        <v>44254</v>
      </c>
      <c r="E143" s="2" t="s">
        <v>99</v>
      </c>
      <c r="F143" s="2"/>
      <c r="G143" s="2" t="s">
        <v>575</v>
      </c>
      <c r="H143" s="2" t="s">
        <v>576</v>
      </c>
      <c r="I143" s="2" t="s">
        <v>51</v>
      </c>
      <c r="J143" s="3">
        <v>41275</v>
      </c>
      <c r="K143" s="2">
        <v>628</v>
      </c>
      <c r="L143" s="2"/>
      <c r="M143" s="2">
        <v>210</v>
      </c>
      <c r="N143" s="2">
        <v>173</v>
      </c>
      <c r="O143" s="2" t="s">
        <v>6</v>
      </c>
      <c r="P143" s="2"/>
      <c r="Q143" s="2"/>
      <c r="R143" s="2" t="s">
        <v>53</v>
      </c>
      <c r="S143" s="2">
        <v>8210302201</v>
      </c>
      <c r="T143" s="2" t="s">
        <v>577</v>
      </c>
      <c r="U143" s="2"/>
      <c r="V143" s="2">
        <v>9001658810</v>
      </c>
      <c r="W143" s="2" t="s">
        <v>383</v>
      </c>
      <c r="X143" s="2">
        <v>80000</v>
      </c>
      <c r="Y143" s="2" t="s">
        <v>55</v>
      </c>
      <c r="Z143" s="2" t="s">
        <v>55</v>
      </c>
      <c r="AA143" s="2"/>
      <c r="AB143" s="2">
        <v>12</v>
      </c>
      <c r="AC143" s="2" t="s">
        <v>57</v>
      </c>
      <c r="AD143" s="2">
        <v>4</v>
      </c>
    </row>
    <row r="144" spans="1:30" ht="30" x14ac:dyDescent="0.25">
      <c r="A144" s="2">
        <v>6</v>
      </c>
      <c r="B144" s="2" t="s">
        <v>49</v>
      </c>
      <c r="C144" s="2">
        <v>540</v>
      </c>
      <c r="D144" s="3">
        <v>43591</v>
      </c>
      <c r="E144" s="2" t="s">
        <v>578</v>
      </c>
      <c r="F144" s="2"/>
      <c r="G144" s="2" t="s">
        <v>579</v>
      </c>
      <c r="H144" s="2" t="s">
        <v>571</v>
      </c>
      <c r="I144" s="2" t="s">
        <v>67</v>
      </c>
      <c r="J144" s="3">
        <v>41486</v>
      </c>
      <c r="K144" s="2">
        <v>629</v>
      </c>
      <c r="L144" s="2"/>
      <c r="M144" s="2">
        <v>210</v>
      </c>
      <c r="N144" s="2">
        <v>175</v>
      </c>
      <c r="O144" s="2" t="s">
        <v>6</v>
      </c>
      <c r="P144" s="2" t="s">
        <v>52</v>
      </c>
      <c r="Q144" s="2"/>
      <c r="R144" s="2" t="s">
        <v>53</v>
      </c>
      <c r="S144" s="2">
        <v>8210302201</v>
      </c>
      <c r="T144" s="2" t="s">
        <v>580</v>
      </c>
      <c r="U144" s="2" t="s">
        <v>581</v>
      </c>
      <c r="V144" s="2">
        <v>9636127232</v>
      </c>
      <c r="W144" s="2" t="s">
        <v>54</v>
      </c>
      <c r="X144" s="2">
        <v>50000</v>
      </c>
      <c r="Y144" s="2" t="s">
        <v>55</v>
      </c>
      <c r="Z144" s="2" t="s">
        <v>55</v>
      </c>
      <c r="AA144" s="2" t="s">
        <v>56</v>
      </c>
      <c r="AB144" s="2">
        <v>12</v>
      </c>
      <c r="AC144" s="2" t="s">
        <v>57</v>
      </c>
      <c r="AD144" s="2">
        <v>0</v>
      </c>
    </row>
    <row r="145" spans="1:30" ht="30" x14ac:dyDescent="0.25">
      <c r="A145" s="2">
        <v>6</v>
      </c>
      <c r="B145" s="2" t="s">
        <v>49</v>
      </c>
      <c r="C145" s="2">
        <v>804</v>
      </c>
      <c r="D145" s="3">
        <v>44807</v>
      </c>
      <c r="E145" s="2" t="s">
        <v>582</v>
      </c>
      <c r="F145" s="2"/>
      <c r="G145" s="2" t="s">
        <v>219</v>
      </c>
      <c r="H145" s="2" t="s">
        <v>583</v>
      </c>
      <c r="I145" s="2" t="s">
        <v>51</v>
      </c>
      <c r="J145" s="3">
        <v>41604</v>
      </c>
      <c r="K145" s="2">
        <v>630</v>
      </c>
      <c r="L145" s="2"/>
      <c r="M145" s="2">
        <v>210</v>
      </c>
      <c r="N145" s="2">
        <v>179</v>
      </c>
      <c r="O145" s="2" t="s">
        <v>6</v>
      </c>
      <c r="P145" s="2"/>
      <c r="Q145" s="2"/>
      <c r="R145" s="2" t="s">
        <v>53</v>
      </c>
      <c r="S145" s="2">
        <v>8210302201</v>
      </c>
      <c r="T145" s="2" t="s">
        <v>584</v>
      </c>
      <c r="U145" s="2"/>
      <c r="V145" s="2">
        <v>9116550681</v>
      </c>
      <c r="W145" s="2"/>
      <c r="X145" s="2"/>
      <c r="Y145" s="2" t="s">
        <v>55</v>
      </c>
      <c r="Z145" s="2" t="s">
        <v>190</v>
      </c>
      <c r="AA145" s="2"/>
      <c r="AB145" s="2">
        <v>12</v>
      </c>
      <c r="AC145" s="2"/>
      <c r="AD145" s="2">
        <v>0</v>
      </c>
    </row>
    <row r="146" spans="1:30" ht="30" x14ac:dyDescent="0.25">
      <c r="A146" s="2">
        <v>6</v>
      </c>
      <c r="B146" s="2" t="s">
        <v>49</v>
      </c>
      <c r="C146" s="2">
        <v>711</v>
      </c>
      <c r="D146" s="3">
        <v>44408</v>
      </c>
      <c r="E146" s="2" t="s">
        <v>585</v>
      </c>
      <c r="F146" s="2"/>
      <c r="G146" s="2" t="s">
        <v>331</v>
      </c>
      <c r="H146" s="2" t="s">
        <v>586</v>
      </c>
      <c r="I146" s="2" t="s">
        <v>51</v>
      </c>
      <c r="J146" s="3">
        <v>41061</v>
      </c>
      <c r="K146" s="2">
        <v>631</v>
      </c>
      <c r="L146" s="2"/>
      <c r="M146" s="2">
        <v>210</v>
      </c>
      <c r="N146" s="2">
        <v>183</v>
      </c>
      <c r="O146" s="2" t="s">
        <v>6</v>
      </c>
      <c r="P146" s="2" t="s">
        <v>52</v>
      </c>
      <c r="Q146" s="2"/>
      <c r="R146" s="2" t="s">
        <v>53</v>
      </c>
      <c r="S146" s="2">
        <v>8210302201</v>
      </c>
      <c r="T146" s="2" t="s">
        <v>587</v>
      </c>
      <c r="U146" s="2"/>
      <c r="V146" s="2">
        <v>9784173477</v>
      </c>
      <c r="W146" s="2" t="s">
        <v>266</v>
      </c>
      <c r="X146" s="2">
        <v>80000</v>
      </c>
      <c r="Y146" s="2" t="s">
        <v>55</v>
      </c>
      <c r="Z146" s="2" t="s">
        <v>55</v>
      </c>
      <c r="AA146" s="2" t="s">
        <v>56</v>
      </c>
      <c r="AB146" s="2">
        <v>13</v>
      </c>
      <c r="AC146" s="2" t="s">
        <v>57</v>
      </c>
      <c r="AD146" s="2">
        <v>0</v>
      </c>
    </row>
    <row r="147" spans="1:30" ht="30" x14ac:dyDescent="0.25">
      <c r="A147" s="2">
        <v>6</v>
      </c>
      <c r="B147" s="2" t="s">
        <v>49</v>
      </c>
      <c r="C147" s="2">
        <v>646</v>
      </c>
      <c r="D147" s="3">
        <v>44120</v>
      </c>
      <c r="E147" s="2" t="s">
        <v>106</v>
      </c>
      <c r="F147" s="2"/>
      <c r="G147" s="2" t="s">
        <v>588</v>
      </c>
      <c r="H147" s="2" t="s">
        <v>261</v>
      </c>
      <c r="I147" s="2" t="s">
        <v>51</v>
      </c>
      <c r="J147" s="3">
        <v>40909</v>
      </c>
      <c r="K147" s="2">
        <v>632</v>
      </c>
      <c r="L147" s="2"/>
      <c r="M147" s="2">
        <v>210</v>
      </c>
      <c r="N147" s="2">
        <v>165</v>
      </c>
      <c r="O147" s="2" t="s">
        <v>5</v>
      </c>
      <c r="P147" s="2"/>
      <c r="Q147" s="2"/>
      <c r="R147" s="2" t="s">
        <v>53</v>
      </c>
      <c r="S147" s="2">
        <v>8210302201</v>
      </c>
      <c r="T147" s="2" t="s">
        <v>589</v>
      </c>
      <c r="U147" s="2"/>
      <c r="V147" s="2">
        <v>9784253973</v>
      </c>
      <c r="W147" s="2" t="s">
        <v>201</v>
      </c>
      <c r="X147" s="2">
        <v>50000</v>
      </c>
      <c r="Y147" s="2" t="s">
        <v>55</v>
      </c>
      <c r="Z147" s="2" t="s">
        <v>55</v>
      </c>
      <c r="AA147" s="2"/>
      <c r="AB147" s="2">
        <v>13</v>
      </c>
      <c r="AC147" s="2" t="s">
        <v>57</v>
      </c>
      <c r="AD147" s="2">
        <v>0</v>
      </c>
    </row>
    <row r="148" spans="1:30" ht="30" x14ac:dyDescent="0.25">
      <c r="A148" s="2">
        <v>6</v>
      </c>
      <c r="B148" s="2" t="s">
        <v>49</v>
      </c>
      <c r="C148" s="2">
        <v>460</v>
      </c>
      <c r="D148" s="3">
        <v>43276</v>
      </c>
      <c r="E148" s="2" t="s">
        <v>590</v>
      </c>
      <c r="F148" s="2"/>
      <c r="G148" s="2" t="s">
        <v>591</v>
      </c>
      <c r="H148" s="2" t="s">
        <v>592</v>
      </c>
      <c r="I148" s="2" t="s">
        <v>51</v>
      </c>
      <c r="J148" s="3">
        <v>41198</v>
      </c>
      <c r="K148" s="2">
        <v>633</v>
      </c>
      <c r="L148" s="2"/>
      <c r="M148" s="2">
        <v>210</v>
      </c>
      <c r="N148" s="2">
        <v>175</v>
      </c>
      <c r="O148" s="2" t="s">
        <v>6</v>
      </c>
      <c r="P148" s="2" t="s">
        <v>52</v>
      </c>
      <c r="Q148" s="2"/>
      <c r="R148" s="2" t="s">
        <v>53</v>
      </c>
      <c r="S148" s="2">
        <v>8210302201</v>
      </c>
      <c r="T148" s="2" t="s">
        <v>593</v>
      </c>
      <c r="U148" s="2"/>
      <c r="V148" s="2">
        <v>9460361075</v>
      </c>
      <c r="W148" s="2" t="s">
        <v>472</v>
      </c>
      <c r="X148" s="2">
        <v>60000</v>
      </c>
      <c r="Y148" s="2" t="s">
        <v>55</v>
      </c>
      <c r="Z148" s="2" t="s">
        <v>55</v>
      </c>
      <c r="AA148" s="2" t="s">
        <v>56</v>
      </c>
      <c r="AB148" s="2">
        <v>13</v>
      </c>
      <c r="AC148" s="2" t="s">
        <v>57</v>
      </c>
      <c r="AD148" s="2">
        <v>0</v>
      </c>
    </row>
    <row r="149" spans="1:30" ht="45" x14ac:dyDescent="0.25">
      <c r="A149" s="2">
        <v>6</v>
      </c>
      <c r="B149" s="2" t="s">
        <v>49</v>
      </c>
      <c r="C149" s="2">
        <v>886</v>
      </c>
      <c r="D149" s="3">
        <v>45479</v>
      </c>
      <c r="E149" s="2" t="s">
        <v>594</v>
      </c>
      <c r="F149" s="2"/>
      <c r="G149" s="2" t="s">
        <v>595</v>
      </c>
      <c r="H149" s="2" t="s">
        <v>596</v>
      </c>
      <c r="I149" s="2" t="s">
        <v>67</v>
      </c>
      <c r="J149" s="3">
        <v>40909</v>
      </c>
      <c r="K149" s="2">
        <v>634</v>
      </c>
      <c r="L149" s="2"/>
      <c r="M149" s="2">
        <v>210</v>
      </c>
      <c r="N149" s="2">
        <v>158</v>
      </c>
      <c r="O149" s="2" t="s">
        <v>6</v>
      </c>
      <c r="P149" s="2"/>
      <c r="Q149" s="2"/>
      <c r="R149" s="2" t="s">
        <v>53</v>
      </c>
      <c r="S149" s="2">
        <v>8210302201</v>
      </c>
      <c r="T149" s="2" t="s">
        <v>597</v>
      </c>
      <c r="U149" s="2"/>
      <c r="V149" s="2">
        <v>7023699625</v>
      </c>
      <c r="W149" s="2" t="s">
        <v>598</v>
      </c>
      <c r="X149" s="2">
        <v>0</v>
      </c>
      <c r="Y149" s="2" t="s">
        <v>55</v>
      </c>
      <c r="Z149" s="2" t="s">
        <v>55</v>
      </c>
      <c r="AA149" s="2"/>
      <c r="AB149" s="2">
        <v>13</v>
      </c>
      <c r="AC149" s="2" t="s">
        <v>57</v>
      </c>
      <c r="AD149" s="2">
        <v>4</v>
      </c>
    </row>
    <row r="150" spans="1:30" ht="30" x14ac:dyDescent="0.25">
      <c r="A150" s="2">
        <v>6</v>
      </c>
      <c r="B150" s="2" t="s">
        <v>49</v>
      </c>
      <c r="C150" s="2">
        <v>909</v>
      </c>
      <c r="D150" s="3">
        <v>45504</v>
      </c>
      <c r="E150" s="2" t="s">
        <v>599</v>
      </c>
      <c r="F150" s="2"/>
      <c r="G150" s="2" t="s">
        <v>600</v>
      </c>
      <c r="H150" s="2" t="s">
        <v>601</v>
      </c>
      <c r="I150" s="2" t="s">
        <v>67</v>
      </c>
      <c r="J150" s="3">
        <v>40458</v>
      </c>
      <c r="K150" s="2">
        <v>635</v>
      </c>
      <c r="L150" s="2"/>
      <c r="M150" s="2">
        <v>210</v>
      </c>
      <c r="N150" s="2">
        <v>172</v>
      </c>
      <c r="O150" s="2" t="s">
        <v>6</v>
      </c>
      <c r="P150" s="2" t="s">
        <v>52</v>
      </c>
      <c r="Q150" s="2"/>
      <c r="R150" s="2" t="s">
        <v>53</v>
      </c>
      <c r="S150" s="2">
        <v>8210302201</v>
      </c>
      <c r="T150" s="2" t="s">
        <v>602</v>
      </c>
      <c r="U150" s="2"/>
      <c r="V150" s="2">
        <v>9784074427</v>
      </c>
      <c r="W150" s="2" t="s">
        <v>603</v>
      </c>
      <c r="X150" s="2">
        <v>0</v>
      </c>
      <c r="Y150" s="2" t="s">
        <v>55</v>
      </c>
      <c r="Z150" s="2" t="s">
        <v>55</v>
      </c>
      <c r="AA150" s="2" t="s">
        <v>56</v>
      </c>
      <c r="AB150" s="2">
        <v>15</v>
      </c>
      <c r="AC150" s="2" t="s">
        <v>57</v>
      </c>
      <c r="AD150" s="2">
        <v>0</v>
      </c>
    </row>
    <row r="151" spans="1:30" ht="30" x14ac:dyDescent="0.25">
      <c r="A151" s="2">
        <v>6</v>
      </c>
      <c r="B151" s="2" t="s">
        <v>49</v>
      </c>
      <c r="C151" s="2">
        <v>873</v>
      </c>
      <c r="D151" s="3">
        <v>43290</v>
      </c>
      <c r="E151" s="2" t="s">
        <v>604</v>
      </c>
      <c r="F151" s="2"/>
      <c r="G151" s="2" t="s">
        <v>605</v>
      </c>
      <c r="H151" s="2" t="s">
        <v>606</v>
      </c>
      <c r="I151" s="2" t="s">
        <v>67</v>
      </c>
      <c r="J151" s="3">
        <v>41381</v>
      </c>
      <c r="K151" s="2">
        <v>636</v>
      </c>
      <c r="L151" s="2"/>
      <c r="M151" s="2">
        <v>210</v>
      </c>
      <c r="N151" s="2">
        <v>171</v>
      </c>
      <c r="O151" s="2" t="s">
        <v>6</v>
      </c>
      <c r="P151" s="2" t="s">
        <v>52</v>
      </c>
      <c r="Q151" s="2"/>
      <c r="R151" s="2" t="s">
        <v>53</v>
      </c>
      <c r="S151" s="2">
        <v>8210302201</v>
      </c>
      <c r="T151" s="2" t="s">
        <v>607</v>
      </c>
      <c r="U151" s="2"/>
      <c r="V151" s="2">
        <v>9888888888</v>
      </c>
      <c r="W151" s="2"/>
      <c r="X151" s="2"/>
      <c r="Y151" s="2" t="s">
        <v>55</v>
      </c>
      <c r="Z151" s="2" t="s">
        <v>55</v>
      </c>
      <c r="AA151" s="2" t="s">
        <v>56</v>
      </c>
      <c r="AB151" s="2">
        <v>12</v>
      </c>
      <c r="AC151" s="2" t="s">
        <v>57</v>
      </c>
      <c r="AD151" s="2">
        <v>3</v>
      </c>
    </row>
    <row r="152" spans="1:30" ht="30" x14ac:dyDescent="0.25">
      <c r="A152" s="2">
        <v>6</v>
      </c>
      <c r="B152" s="2" t="s">
        <v>49</v>
      </c>
      <c r="C152" s="2">
        <v>701</v>
      </c>
      <c r="D152" s="3">
        <v>44397</v>
      </c>
      <c r="E152" s="2" t="s">
        <v>608</v>
      </c>
      <c r="F152" s="2"/>
      <c r="G152" s="2" t="s">
        <v>609</v>
      </c>
      <c r="H152" s="2" t="s">
        <v>610</v>
      </c>
      <c r="I152" s="2" t="s">
        <v>51</v>
      </c>
      <c r="J152" s="3">
        <v>41022</v>
      </c>
      <c r="K152" s="2">
        <v>637</v>
      </c>
      <c r="L152" s="2"/>
      <c r="M152" s="2">
        <v>210</v>
      </c>
      <c r="N152" s="2">
        <v>171</v>
      </c>
      <c r="O152" s="2" t="s">
        <v>6</v>
      </c>
      <c r="P152" s="2" t="s">
        <v>52</v>
      </c>
      <c r="Q152" s="2"/>
      <c r="R152" s="2" t="s">
        <v>53</v>
      </c>
      <c r="S152" s="2">
        <v>8210302201</v>
      </c>
      <c r="T152" s="2"/>
      <c r="U152" s="2"/>
      <c r="V152" s="2">
        <v>6367769223</v>
      </c>
      <c r="W152" s="2" t="s">
        <v>611</v>
      </c>
      <c r="X152" s="2">
        <v>80000</v>
      </c>
      <c r="Y152" s="2" t="s">
        <v>55</v>
      </c>
      <c r="Z152" s="2" t="s">
        <v>55</v>
      </c>
      <c r="AA152" s="2" t="s">
        <v>56</v>
      </c>
      <c r="AB152" s="2">
        <v>13</v>
      </c>
      <c r="AC152" s="2" t="s">
        <v>57</v>
      </c>
      <c r="AD152" s="2">
        <v>4</v>
      </c>
    </row>
    <row r="153" spans="1:30" ht="30" x14ac:dyDescent="0.25">
      <c r="A153" s="2">
        <v>6</v>
      </c>
      <c r="B153" s="2" t="s">
        <v>49</v>
      </c>
      <c r="C153" s="2">
        <v>664</v>
      </c>
      <c r="D153" s="3">
        <v>44253</v>
      </c>
      <c r="E153" s="2" t="s">
        <v>612</v>
      </c>
      <c r="F153" s="2"/>
      <c r="G153" s="2" t="s">
        <v>613</v>
      </c>
      <c r="H153" s="2" t="s">
        <v>614</v>
      </c>
      <c r="I153" s="2" t="s">
        <v>51</v>
      </c>
      <c r="J153" s="3">
        <v>41601</v>
      </c>
      <c r="K153" s="2">
        <v>638</v>
      </c>
      <c r="L153" s="2"/>
      <c r="M153" s="2">
        <v>210</v>
      </c>
      <c r="N153" s="2">
        <v>171</v>
      </c>
      <c r="O153" s="2" t="s">
        <v>7</v>
      </c>
      <c r="P153" s="2"/>
      <c r="Q153" s="2"/>
      <c r="R153" s="2" t="s">
        <v>53</v>
      </c>
      <c r="S153" s="2">
        <v>8210302201</v>
      </c>
      <c r="T153" s="2" t="s">
        <v>615</v>
      </c>
      <c r="U153" s="2"/>
      <c r="V153" s="2">
        <v>6375890886</v>
      </c>
      <c r="W153" s="2" t="s">
        <v>461</v>
      </c>
      <c r="X153" s="2">
        <v>60000</v>
      </c>
      <c r="Y153" s="2" t="s">
        <v>55</v>
      </c>
      <c r="Z153" s="2" t="s">
        <v>55</v>
      </c>
      <c r="AA153" s="2"/>
      <c r="AB153" s="2">
        <v>12</v>
      </c>
      <c r="AC153" s="2" t="s">
        <v>57</v>
      </c>
      <c r="AD153" s="2">
        <v>3</v>
      </c>
    </row>
    <row r="154" spans="1:30" ht="30" x14ac:dyDescent="0.25">
      <c r="A154" s="2">
        <v>6</v>
      </c>
      <c r="B154" s="2" t="s">
        <v>49</v>
      </c>
      <c r="C154" s="2">
        <v>903</v>
      </c>
      <c r="D154" s="3">
        <v>45492</v>
      </c>
      <c r="E154" s="2" t="s">
        <v>616</v>
      </c>
      <c r="F154" s="2"/>
      <c r="G154" s="2" t="s">
        <v>541</v>
      </c>
      <c r="H154" s="2" t="s">
        <v>542</v>
      </c>
      <c r="I154" s="2" t="s">
        <v>51</v>
      </c>
      <c r="J154" s="3">
        <v>41026</v>
      </c>
      <c r="K154" s="2">
        <v>639</v>
      </c>
      <c r="L154" s="2"/>
      <c r="M154" s="2">
        <v>210</v>
      </c>
      <c r="N154" s="2">
        <v>168</v>
      </c>
      <c r="O154" s="2" t="s">
        <v>6</v>
      </c>
      <c r="P154" s="2" t="s">
        <v>543</v>
      </c>
      <c r="Q154" s="2"/>
      <c r="R154" s="2" t="s">
        <v>53</v>
      </c>
      <c r="S154" s="2">
        <v>8210302201</v>
      </c>
      <c r="T154" s="2" t="s">
        <v>617</v>
      </c>
      <c r="U154" s="2"/>
      <c r="V154" s="2">
        <v>7725960267</v>
      </c>
      <c r="W154" s="2" t="s">
        <v>618</v>
      </c>
      <c r="X154" s="2">
        <v>0</v>
      </c>
      <c r="Y154" s="2" t="s">
        <v>55</v>
      </c>
      <c r="Z154" s="2" t="s">
        <v>55</v>
      </c>
      <c r="AA154" s="2" t="s">
        <v>546</v>
      </c>
      <c r="AB154" s="2">
        <v>13</v>
      </c>
      <c r="AC154" s="2" t="s">
        <v>57</v>
      </c>
      <c r="AD154" s="2"/>
    </row>
    <row r="155" spans="1:30" ht="45" x14ac:dyDescent="0.25">
      <c r="A155" s="2">
        <v>6</v>
      </c>
      <c r="B155" s="2" t="s">
        <v>49</v>
      </c>
      <c r="C155" s="2">
        <v>898</v>
      </c>
      <c r="D155" s="3">
        <v>45489</v>
      </c>
      <c r="E155" s="2" t="s">
        <v>619</v>
      </c>
      <c r="F155" s="2"/>
      <c r="G155" s="2" t="s">
        <v>620</v>
      </c>
      <c r="H155" s="2" t="s">
        <v>621</v>
      </c>
      <c r="I155" s="2" t="s">
        <v>67</v>
      </c>
      <c r="J155" s="3">
        <v>41640</v>
      </c>
      <c r="K155" s="2">
        <v>640</v>
      </c>
      <c r="L155" s="2"/>
      <c r="M155" s="2">
        <v>210</v>
      </c>
      <c r="N155" s="2">
        <v>143</v>
      </c>
      <c r="O155" s="2" t="s">
        <v>5</v>
      </c>
      <c r="P155" s="2"/>
      <c r="Q155" s="2"/>
      <c r="R155" s="2" t="s">
        <v>53</v>
      </c>
      <c r="S155" s="2">
        <v>8210302201</v>
      </c>
      <c r="T155" s="2" t="s">
        <v>622</v>
      </c>
      <c r="U155" s="2"/>
      <c r="V155" s="2">
        <v>8233694902</v>
      </c>
      <c r="W155" s="2" t="s">
        <v>490</v>
      </c>
      <c r="X155" s="2">
        <v>0</v>
      </c>
      <c r="Y155" s="2" t="s">
        <v>55</v>
      </c>
      <c r="Z155" s="2" t="s">
        <v>55</v>
      </c>
      <c r="AA155" s="2"/>
      <c r="AB155" s="2">
        <v>11</v>
      </c>
      <c r="AC155" s="2" t="s">
        <v>57</v>
      </c>
      <c r="AD155" s="2">
        <v>4</v>
      </c>
    </row>
    <row r="156" spans="1:30" ht="30" x14ac:dyDescent="0.25">
      <c r="A156" s="2">
        <v>6</v>
      </c>
      <c r="B156" s="2" t="s">
        <v>49</v>
      </c>
      <c r="C156" s="2">
        <v>456</v>
      </c>
      <c r="D156" s="3">
        <v>43272</v>
      </c>
      <c r="E156" s="2" t="s">
        <v>623</v>
      </c>
      <c r="F156" s="2"/>
      <c r="G156" s="2" t="s">
        <v>624</v>
      </c>
      <c r="H156" s="2" t="s">
        <v>625</v>
      </c>
      <c r="I156" s="2" t="s">
        <v>51</v>
      </c>
      <c r="J156" s="3">
        <v>41086</v>
      </c>
      <c r="K156" s="2">
        <v>641</v>
      </c>
      <c r="L156" s="2"/>
      <c r="M156" s="2">
        <v>210</v>
      </c>
      <c r="N156" s="2">
        <v>178</v>
      </c>
      <c r="O156" s="2" t="s">
        <v>6</v>
      </c>
      <c r="P156" s="2" t="s">
        <v>52</v>
      </c>
      <c r="Q156" s="2"/>
      <c r="R156" s="2" t="s">
        <v>53</v>
      </c>
      <c r="S156" s="2">
        <v>8210302201</v>
      </c>
      <c r="T156" s="2" t="s">
        <v>626</v>
      </c>
      <c r="U156" s="2" t="s">
        <v>627</v>
      </c>
      <c r="V156" s="2">
        <v>9460361075</v>
      </c>
      <c r="W156" s="2" t="s">
        <v>472</v>
      </c>
      <c r="X156" s="2">
        <v>50000</v>
      </c>
      <c r="Y156" s="2" t="s">
        <v>55</v>
      </c>
      <c r="Z156" s="2" t="s">
        <v>55</v>
      </c>
      <c r="AA156" s="2" t="s">
        <v>56</v>
      </c>
      <c r="AB156" s="2">
        <v>13</v>
      </c>
      <c r="AC156" s="2" t="s">
        <v>57</v>
      </c>
      <c r="AD156" s="2">
        <v>0</v>
      </c>
    </row>
    <row r="157" spans="1:30" ht="30" x14ac:dyDescent="0.25">
      <c r="A157" s="2">
        <v>6</v>
      </c>
      <c r="B157" s="2" t="s">
        <v>49</v>
      </c>
      <c r="C157" s="2">
        <v>704</v>
      </c>
      <c r="D157" s="3">
        <v>44399</v>
      </c>
      <c r="E157" s="2" t="s">
        <v>628</v>
      </c>
      <c r="F157" s="2"/>
      <c r="G157" s="2" t="s">
        <v>629</v>
      </c>
      <c r="H157" s="2" t="s">
        <v>630</v>
      </c>
      <c r="I157" s="2" t="s">
        <v>51</v>
      </c>
      <c r="J157" s="3">
        <v>41327</v>
      </c>
      <c r="K157" s="2">
        <v>642</v>
      </c>
      <c r="L157" s="2"/>
      <c r="M157" s="2">
        <v>210</v>
      </c>
      <c r="N157" s="2">
        <v>172</v>
      </c>
      <c r="O157" s="2" t="s">
        <v>6</v>
      </c>
      <c r="P157" s="2" t="s">
        <v>52</v>
      </c>
      <c r="Q157" s="2"/>
      <c r="R157" s="2" t="s">
        <v>53</v>
      </c>
      <c r="S157" s="2">
        <v>8210302201</v>
      </c>
      <c r="T157" s="2" t="s">
        <v>631</v>
      </c>
      <c r="U157" s="2"/>
      <c r="V157" s="2">
        <v>7357662265</v>
      </c>
      <c r="W157" s="2" t="s">
        <v>611</v>
      </c>
      <c r="X157" s="2">
        <v>70000</v>
      </c>
      <c r="Y157" s="2" t="s">
        <v>55</v>
      </c>
      <c r="Z157" s="2" t="s">
        <v>55</v>
      </c>
      <c r="AA157" s="2" t="s">
        <v>56</v>
      </c>
      <c r="AB157" s="2">
        <v>12</v>
      </c>
      <c r="AC157" s="2" t="s">
        <v>57</v>
      </c>
      <c r="AD157" s="2">
        <v>3</v>
      </c>
    </row>
    <row r="158" spans="1:30" ht="45" x14ac:dyDescent="0.25">
      <c r="A158" s="2">
        <v>6</v>
      </c>
      <c r="B158" s="2" t="s">
        <v>49</v>
      </c>
      <c r="C158" s="2">
        <v>887</v>
      </c>
      <c r="D158" s="3">
        <v>45479</v>
      </c>
      <c r="E158" s="2" t="s">
        <v>632</v>
      </c>
      <c r="F158" s="2"/>
      <c r="G158" s="2" t="s">
        <v>633</v>
      </c>
      <c r="H158" s="2" t="s">
        <v>634</v>
      </c>
      <c r="I158" s="2" t="s">
        <v>67</v>
      </c>
      <c r="J158" s="3">
        <v>41195</v>
      </c>
      <c r="K158" s="2">
        <v>643</v>
      </c>
      <c r="L158" s="2"/>
      <c r="M158" s="2">
        <v>210</v>
      </c>
      <c r="N158" s="2">
        <v>164</v>
      </c>
      <c r="O158" s="2" t="s">
        <v>6</v>
      </c>
      <c r="P158" s="2"/>
      <c r="Q158" s="2"/>
      <c r="R158" s="2" t="s">
        <v>53</v>
      </c>
      <c r="S158" s="2">
        <v>8210302201</v>
      </c>
      <c r="T158" s="2" t="s">
        <v>635</v>
      </c>
      <c r="U158" s="2"/>
      <c r="V158" s="2">
        <v>9358175355</v>
      </c>
      <c r="W158" s="2" t="s">
        <v>490</v>
      </c>
      <c r="X158" s="2">
        <v>0</v>
      </c>
      <c r="Y158" s="2" t="s">
        <v>55</v>
      </c>
      <c r="Z158" s="2" t="s">
        <v>55</v>
      </c>
      <c r="AA158" s="2"/>
      <c r="AB158" s="2">
        <v>13</v>
      </c>
      <c r="AC158" s="2" t="s">
        <v>57</v>
      </c>
      <c r="AD158" s="2">
        <v>3</v>
      </c>
    </row>
    <row r="159" spans="1:30" ht="30" x14ac:dyDescent="0.25">
      <c r="A159" s="2">
        <v>6</v>
      </c>
      <c r="B159" s="2" t="s">
        <v>49</v>
      </c>
      <c r="C159" s="2">
        <v>459</v>
      </c>
      <c r="D159" s="3">
        <v>43276</v>
      </c>
      <c r="E159" s="2" t="s">
        <v>636</v>
      </c>
      <c r="F159" s="2"/>
      <c r="G159" s="2" t="s">
        <v>637</v>
      </c>
      <c r="H159" s="2" t="s">
        <v>512</v>
      </c>
      <c r="I159" s="2" t="s">
        <v>67</v>
      </c>
      <c r="J159" s="3">
        <v>40727</v>
      </c>
      <c r="K159" s="2">
        <v>644</v>
      </c>
      <c r="L159" s="2"/>
      <c r="M159" s="2">
        <v>210</v>
      </c>
      <c r="N159" s="2">
        <v>162</v>
      </c>
      <c r="O159" s="2" t="s">
        <v>7</v>
      </c>
      <c r="P159" s="2" t="s">
        <v>52</v>
      </c>
      <c r="Q159" s="2"/>
      <c r="R159" s="2" t="s">
        <v>53</v>
      </c>
      <c r="S159" s="2">
        <v>8210302201</v>
      </c>
      <c r="T159" s="2" t="s">
        <v>638</v>
      </c>
      <c r="U159" s="2" t="s">
        <v>639</v>
      </c>
      <c r="V159" s="2">
        <v>9460361075</v>
      </c>
      <c r="W159" s="2" t="s">
        <v>472</v>
      </c>
      <c r="X159" s="2">
        <v>45000</v>
      </c>
      <c r="Y159" s="2" t="s">
        <v>55</v>
      </c>
      <c r="Z159" s="2" t="s">
        <v>55</v>
      </c>
      <c r="AA159" s="2" t="s">
        <v>56</v>
      </c>
      <c r="AB159" s="2">
        <v>14</v>
      </c>
      <c r="AC159" s="2" t="s">
        <v>640</v>
      </c>
      <c r="AD159" s="2">
        <v>3</v>
      </c>
    </row>
    <row r="160" spans="1:30" ht="30" x14ac:dyDescent="0.25">
      <c r="A160" s="2">
        <v>6</v>
      </c>
      <c r="B160" s="2" t="s">
        <v>49</v>
      </c>
      <c r="C160" s="2">
        <v>465</v>
      </c>
      <c r="D160" s="3">
        <v>43276</v>
      </c>
      <c r="E160" s="2" t="s">
        <v>641</v>
      </c>
      <c r="F160" s="2"/>
      <c r="G160" s="2" t="s">
        <v>642</v>
      </c>
      <c r="H160" s="2" t="s">
        <v>643</v>
      </c>
      <c r="I160" s="2" t="s">
        <v>51</v>
      </c>
      <c r="J160" s="3">
        <v>41047</v>
      </c>
      <c r="K160" s="2">
        <v>645</v>
      </c>
      <c r="L160" s="2"/>
      <c r="M160" s="2">
        <v>210</v>
      </c>
      <c r="N160" s="2">
        <v>180</v>
      </c>
      <c r="O160" s="2" t="s">
        <v>4</v>
      </c>
      <c r="P160" s="2" t="s">
        <v>52</v>
      </c>
      <c r="Q160" s="2"/>
      <c r="R160" s="2" t="s">
        <v>53</v>
      </c>
      <c r="S160" s="2">
        <v>8210302201</v>
      </c>
      <c r="T160" s="2" t="s">
        <v>644</v>
      </c>
      <c r="U160" s="2"/>
      <c r="V160" s="2">
        <v>9460361075</v>
      </c>
      <c r="W160" s="2" t="s">
        <v>472</v>
      </c>
      <c r="X160" s="2">
        <v>40000</v>
      </c>
      <c r="Y160" s="2" t="s">
        <v>55</v>
      </c>
      <c r="Z160" s="2" t="s">
        <v>55</v>
      </c>
      <c r="AA160" s="2" t="s">
        <v>56</v>
      </c>
      <c r="AB160" s="2">
        <v>13</v>
      </c>
      <c r="AC160" s="2" t="s">
        <v>57</v>
      </c>
      <c r="AD160" s="2">
        <v>0</v>
      </c>
    </row>
    <row r="161" spans="1:30" ht="30" x14ac:dyDescent="0.25">
      <c r="A161" s="2">
        <v>6</v>
      </c>
      <c r="B161" s="2" t="s">
        <v>49</v>
      </c>
      <c r="C161" s="2">
        <v>464</v>
      </c>
      <c r="D161" s="3">
        <v>43276</v>
      </c>
      <c r="E161" s="2" t="s">
        <v>645</v>
      </c>
      <c r="F161" s="2"/>
      <c r="G161" s="2" t="s">
        <v>646</v>
      </c>
      <c r="H161" s="2" t="s">
        <v>647</v>
      </c>
      <c r="I161" s="2" t="s">
        <v>51</v>
      </c>
      <c r="J161" s="3">
        <v>41103</v>
      </c>
      <c r="K161" s="2">
        <v>646</v>
      </c>
      <c r="L161" s="2"/>
      <c r="M161" s="2">
        <v>210</v>
      </c>
      <c r="N161" s="2">
        <v>173</v>
      </c>
      <c r="O161" s="2" t="s">
        <v>6</v>
      </c>
      <c r="P161" s="2" t="s">
        <v>52</v>
      </c>
      <c r="Q161" s="2"/>
      <c r="R161" s="2" t="s">
        <v>53</v>
      </c>
      <c r="S161" s="2">
        <v>8210302201</v>
      </c>
      <c r="T161" s="2" t="s">
        <v>648</v>
      </c>
      <c r="U161" s="2"/>
      <c r="V161" s="2">
        <v>9460361075</v>
      </c>
      <c r="W161" s="2" t="s">
        <v>472</v>
      </c>
      <c r="X161" s="2">
        <v>60000</v>
      </c>
      <c r="Y161" s="2" t="s">
        <v>55</v>
      </c>
      <c r="Z161" s="2" t="s">
        <v>55</v>
      </c>
      <c r="AA161" s="2" t="s">
        <v>56</v>
      </c>
      <c r="AB161" s="2">
        <v>13</v>
      </c>
      <c r="AC161" s="2" t="s">
        <v>57</v>
      </c>
      <c r="AD161" s="2">
        <v>0</v>
      </c>
    </row>
    <row r="162" spans="1:30" ht="30" x14ac:dyDescent="0.25">
      <c r="A162" s="2">
        <v>6</v>
      </c>
      <c r="B162" s="2" t="s">
        <v>49</v>
      </c>
      <c r="C162" s="2">
        <v>534</v>
      </c>
      <c r="D162" s="3">
        <v>43312</v>
      </c>
      <c r="E162" s="2" t="s">
        <v>649</v>
      </c>
      <c r="F162" s="2"/>
      <c r="G162" s="2" t="s">
        <v>650</v>
      </c>
      <c r="H162" s="2" t="s">
        <v>651</v>
      </c>
      <c r="I162" s="2" t="s">
        <v>51</v>
      </c>
      <c r="J162" s="3">
        <v>41298</v>
      </c>
      <c r="K162" s="2">
        <v>647</v>
      </c>
      <c r="L162" s="2"/>
      <c r="M162" s="2">
        <v>210</v>
      </c>
      <c r="N162" s="2">
        <v>182</v>
      </c>
      <c r="O162" s="2" t="s">
        <v>6</v>
      </c>
      <c r="P162" s="2" t="s">
        <v>52</v>
      </c>
      <c r="Q162" s="2"/>
      <c r="R162" s="2" t="s">
        <v>53</v>
      </c>
      <c r="S162" s="2">
        <v>8210302201</v>
      </c>
      <c r="T162" s="2" t="s">
        <v>652</v>
      </c>
      <c r="U162" s="2"/>
      <c r="V162" s="2">
        <v>9116833033</v>
      </c>
      <c r="W162" s="2" t="s">
        <v>472</v>
      </c>
      <c r="X162" s="2">
        <v>38000</v>
      </c>
      <c r="Y162" s="2" t="s">
        <v>55</v>
      </c>
      <c r="Z162" s="2" t="s">
        <v>55</v>
      </c>
      <c r="AA162" s="2" t="s">
        <v>56</v>
      </c>
      <c r="AB162" s="2">
        <v>12</v>
      </c>
      <c r="AC162" s="2" t="s">
        <v>57</v>
      </c>
      <c r="AD162" s="2">
        <v>0</v>
      </c>
    </row>
    <row r="163" spans="1:30" ht="30" x14ac:dyDescent="0.25">
      <c r="A163" s="2">
        <v>6</v>
      </c>
      <c r="B163" s="2" t="s">
        <v>49</v>
      </c>
      <c r="C163" s="2">
        <v>642</v>
      </c>
      <c r="D163" s="3">
        <v>44064</v>
      </c>
      <c r="E163" s="2" t="s">
        <v>653</v>
      </c>
      <c r="F163" s="2"/>
      <c r="G163" s="2" t="s">
        <v>423</v>
      </c>
      <c r="H163" s="2" t="s">
        <v>179</v>
      </c>
      <c r="I163" s="2" t="s">
        <v>67</v>
      </c>
      <c r="J163" s="3">
        <v>41149</v>
      </c>
      <c r="K163" s="2">
        <v>648</v>
      </c>
      <c r="L163" s="2"/>
      <c r="M163" s="2">
        <v>210</v>
      </c>
      <c r="N163" s="2">
        <v>183</v>
      </c>
      <c r="O163" s="2" t="s">
        <v>6</v>
      </c>
      <c r="P163" s="2" t="s">
        <v>52</v>
      </c>
      <c r="Q163" s="2"/>
      <c r="R163" s="2" t="s">
        <v>53</v>
      </c>
      <c r="S163" s="2">
        <v>8210302201</v>
      </c>
      <c r="T163" s="2" t="s">
        <v>654</v>
      </c>
      <c r="U163" s="2"/>
      <c r="V163" s="2">
        <v>9784782294</v>
      </c>
      <c r="W163" s="2" t="s">
        <v>214</v>
      </c>
      <c r="X163" s="2">
        <v>60000</v>
      </c>
      <c r="Y163" s="2" t="s">
        <v>55</v>
      </c>
      <c r="Z163" s="2" t="s">
        <v>55</v>
      </c>
      <c r="AA163" s="2" t="s">
        <v>56</v>
      </c>
      <c r="AB163" s="2">
        <v>13</v>
      </c>
      <c r="AC163" s="2" t="s">
        <v>57</v>
      </c>
      <c r="AD163" s="2">
        <v>0</v>
      </c>
    </row>
    <row r="164" spans="1:30" ht="30" x14ac:dyDescent="0.25">
      <c r="A164" s="2">
        <v>6</v>
      </c>
      <c r="B164" s="2" t="s">
        <v>49</v>
      </c>
      <c r="C164" s="2">
        <v>463</v>
      </c>
      <c r="D164" s="3">
        <v>43276</v>
      </c>
      <c r="E164" s="2" t="s">
        <v>655</v>
      </c>
      <c r="F164" s="2"/>
      <c r="G164" s="2" t="s">
        <v>656</v>
      </c>
      <c r="H164" s="2" t="s">
        <v>657</v>
      </c>
      <c r="I164" s="2" t="s">
        <v>67</v>
      </c>
      <c r="J164" s="3">
        <v>41157</v>
      </c>
      <c r="K164" s="2">
        <v>649</v>
      </c>
      <c r="L164" s="2"/>
      <c r="M164" s="2">
        <v>210</v>
      </c>
      <c r="N164" s="2">
        <v>176</v>
      </c>
      <c r="O164" s="2" t="s">
        <v>6</v>
      </c>
      <c r="P164" s="2" t="s">
        <v>52</v>
      </c>
      <c r="Q164" s="2"/>
      <c r="R164" s="2" t="s">
        <v>53</v>
      </c>
      <c r="S164" s="2">
        <v>8210302201</v>
      </c>
      <c r="T164" s="2" t="s">
        <v>658</v>
      </c>
      <c r="U164" s="2" t="s">
        <v>659</v>
      </c>
      <c r="V164" s="2">
        <v>9799271567</v>
      </c>
      <c r="W164" s="2" t="s">
        <v>472</v>
      </c>
      <c r="X164" s="2">
        <v>50000</v>
      </c>
      <c r="Y164" s="2" t="s">
        <v>55</v>
      </c>
      <c r="Z164" s="2" t="s">
        <v>55</v>
      </c>
      <c r="AA164" s="2" t="s">
        <v>56</v>
      </c>
      <c r="AB164" s="2">
        <v>13</v>
      </c>
      <c r="AC164" s="2" t="s">
        <v>57</v>
      </c>
      <c r="AD164" s="2">
        <v>0</v>
      </c>
    </row>
    <row r="165" spans="1:30" ht="30" x14ac:dyDescent="0.25">
      <c r="A165" s="2">
        <v>6</v>
      </c>
      <c r="B165" s="2" t="s">
        <v>49</v>
      </c>
      <c r="C165" s="2">
        <v>627</v>
      </c>
      <c r="D165" s="3">
        <v>44056</v>
      </c>
      <c r="E165" s="2" t="s">
        <v>660</v>
      </c>
      <c r="F165" s="2"/>
      <c r="G165" s="2" t="s">
        <v>661</v>
      </c>
      <c r="H165" s="2" t="s">
        <v>261</v>
      </c>
      <c r="I165" s="2" t="s">
        <v>67</v>
      </c>
      <c r="J165" s="3">
        <v>41652</v>
      </c>
      <c r="K165" s="2">
        <v>650</v>
      </c>
      <c r="L165" s="2"/>
      <c r="M165" s="2">
        <v>210</v>
      </c>
      <c r="N165" s="2">
        <v>178</v>
      </c>
      <c r="O165" s="2" t="s">
        <v>6</v>
      </c>
      <c r="P165" s="2"/>
      <c r="Q165" s="2"/>
      <c r="R165" s="2" t="s">
        <v>53</v>
      </c>
      <c r="S165" s="2">
        <v>8210302201</v>
      </c>
      <c r="T165" s="2"/>
      <c r="U165" s="2"/>
      <c r="V165" s="2">
        <v>9680213323</v>
      </c>
      <c r="W165" s="2" t="s">
        <v>201</v>
      </c>
      <c r="X165" s="2">
        <v>50000</v>
      </c>
      <c r="Y165" s="2" t="s">
        <v>55</v>
      </c>
      <c r="Z165" s="2" t="s">
        <v>55</v>
      </c>
      <c r="AA165" s="2"/>
      <c r="AB165" s="2">
        <v>11</v>
      </c>
      <c r="AC165" s="2" t="s">
        <v>57</v>
      </c>
      <c r="AD165" s="2">
        <v>0</v>
      </c>
    </row>
    <row r="166" spans="1:30" ht="30" x14ac:dyDescent="0.25">
      <c r="A166" s="2">
        <v>6</v>
      </c>
      <c r="B166" s="2" t="s">
        <v>49</v>
      </c>
      <c r="C166" s="2">
        <v>545</v>
      </c>
      <c r="D166" s="3">
        <v>43648</v>
      </c>
      <c r="E166" s="2" t="s">
        <v>662</v>
      </c>
      <c r="F166" s="2"/>
      <c r="G166" s="2" t="s">
        <v>663</v>
      </c>
      <c r="H166" s="2" t="s">
        <v>664</v>
      </c>
      <c r="I166" s="2" t="s">
        <v>67</v>
      </c>
      <c r="J166" s="3">
        <v>41655</v>
      </c>
      <c r="K166" s="2">
        <v>651</v>
      </c>
      <c r="L166" s="2"/>
      <c r="M166" s="2">
        <v>210</v>
      </c>
      <c r="N166" s="2">
        <v>185</v>
      </c>
      <c r="O166" s="2" t="s">
        <v>6</v>
      </c>
      <c r="P166" s="2" t="s">
        <v>52</v>
      </c>
      <c r="Q166" s="2"/>
      <c r="R166" s="2" t="s">
        <v>53</v>
      </c>
      <c r="S166" s="2">
        <v>8210302201</v>
      </c>
      <c r="T166" s="2" t="s">
        <v>665</v>
      </c>
      <c r="U166" s="2" t="s">
        <v>666</v>
      </c>
      <c r="V166" s="2">
        <v>9829137061</v>
      </c>
      <c r="W166" s="2" t="s">
        <v>467</v>
      </c>
      <c r="X166" s="2">
        <v>50000</v>
      </c>
      <c r="Y166" s="2" t="s">
        <v>55</v>
      </c>
      <c r="Z166" s="2" t="s">
        <v>55</v>
      </c>
      <c r="AA166" s="2" t="s">
        <v>56</v>
      </c>
      <c r="AB166" s="2">
        <v>11</v>
      </c>
      <c r="AC166" s="2" t="s">
        <v>57</v>
      </c>
      <c r="AD166" s="2">
        <v>0</v>
      </c>
    </row>
    <row r="167" spans="1:30" ht="30" x14ac:dyDescent="0.25">
      <c r="A167" s="2">
        <v>7</v>
      </c>
      <c r="B167" s="2" t="s">
        <v>49</v>
      </c>
      <c r="C167" s="2">
        <v>502</v>
      </c>
      <c r="D167" s="3">
        <v>43292</v>
      </c>
      <c r="E167" s="2" t="s">
        <v>667</v>
      </c>
      <c r="F167" s="2"/>
      <c r="G167" s="2" t="s">
        <v>668</v>
      </c>
      <c r="H167" s="2" t="s">
        <v>669</v>
      </c>
      <c r="I167" s="2" t="s">
        <v>51</v>
      </c>
      <c r="J167" s="3">
        <v>41327</v>
      </c>
      <c r="K167" s="2">
        <v>701</v>
      </c>
      <c r="L167" s="2"/>
      <c r="M167" s="2">
        <v>210</v>
      </c>
      <c r="N167" s="2">
        <v>198</v>
      </c>
      <c r="O167" s="2" t="s">
        <v>6</v>
      </c>
      <c r="P167" s="2" t="s">
        <v>52</v>
      </c>
      <c r="Q167" s="2"/>
      <c r="R167" s="2" t="s">
        <v>53</v>
      </c>
      <c r="S167" s="2">
        <v>8210302201</v>
      </c>
      <c r="T167" s="2" t="s">
        <v>670</v>
      </c>
      <c r="U167" s="2" t="s">
        <v>671</v>
      </c>
      <c r="V167" s="2">
        <v>9001682700</v>
      </c>
      <c r="W167" s="2" t="s">
        <v>472</v>
      </c>
      <c r="X167" s="2">
        <v>65000</v>
      </c>
      <c r="Y167" s="2" t="s">
        <v>55</v>
      </c>
      <c r="Z167" s="2" t="s">
        <v>55</v>
      </c>
      <c r="AA167" s="2" t="s">
        <v>56</v>
      </c>
      <c r="AB167" s="2">
        <v>12</v>
      </c>
      <c r="AC167" s="2" t="s">
        <v>57</v>
      </c>
      <c r="AD167" s="2">
        <v>3</v>
      </c>
    </row>
    <row r="168" spans="1:30" ht="45" x14ac:dyDescent="0.25">
      <c r="A168" s="2">
        <v>7</v>
      </c>
      <c r="B168" s="2" t="s">
        <v>49</v>
      </c>
      <c r="C168" s="2">
        <v>818</v>
      </c>
      <c r="D168" s="3">
        <v>45118</v>
      </c>
      <c r="E168" s="2" t="s">
        <v>672</v>
      </c>
      <c r="F168" s="2"/>
      <c r="G168" s="2" t="s">
        <v>673</v>
      </c>
      <c r="H168" s="2" t="s">
        <v>586</v>
      </c>
      <c r="I168" s="2" t="s">
        <v>67</v>
      </c>
      <c r="J168" s="3">
        <v>41493</v>
      </c>
      <c r="K168" s="2">
        <v>702</v>
      </c>
      <c r="L168" s="2"/>
      <c r="M168" s="2">
        <v>210</v>
      </c>
      <c r="N168" s="2">
        <v>190</v>
      </c>
      <c r="O168" s="2" t="s">
        <v>6</v>
      </c>
      <c r="P168" s="2"/>
      <c r="Q168" s="2"/>
      <c r="R168" s="2" t="s">
        <v>53</v>
      </c>
      <c r="S168" s="2">
        <v>8210302201</v>
      </c>
      <c r="T168" s="2" t="s">
        <v>674</v>
      </c>
      <c r="U168" s="2"/>
      <c r="V168" s="2">
        <v>9829399003</v>
      </c>
      <c r="W168" s="2" t="s">
        <v>675</v>
      </c>
      <c r="X168" s="2">
        <v>0</v>
      </c>
      <c r="Y168" s="2" t="s">
        <v>55</v>
      </c>
      <c r="Z168" s="2" t="s">
        <v>55</v>
      </c>
      <c r="AA168" s="2"/>
      <c r="AB168" s="2">
        <v>12</v>
      </c>
      <c r="AC168" s="2" t="s">
        <v>57</v>
      </c>
      <c r="AD168" s="2">
        <v>3</v>
      </c>
    </row>
    <row r="169" spans="1:30" ht="30" x14ac:dyDescent="0.25">
      <c r="A169" s="2">
        <v>7</v>
      </c>
      <c r="B169" s="2" t="s">
        <v>49</v>
      </c>
      <c r="C169" s="2">
        <v>821</v>
      </c>
      <c r="D169" s="3">
        <v>45118</v>
      </c>
      <c r="E169" s="2" t="s">
        <v>676</v>
      </c>
      <c r="F169" s="2"/>
      <c r="G169" s="2" t="s">
        <v>677</v>
      </c>
      <c r="H169" s="2" t="s">
        <v>678</v>
      </c>
      <c r="I169" s="2" t="s">
        <v>51</v>
      </c>
      <c r="J169" s="3">
        <v>40725</v>
      </c>
      <c r="K169" s="2">
        <v>703</v>
      </c>
      <c r="L169" s="2"/>
      <c r="M169" s="2">
        <v>210</v>
      </c>
      <c r="N169" s="2">
        <v>151</v>
      </c>
      <c r="O169" s="2" t="s">
        <v>5</v>
      </c>
      <c r="P169" s="2" t="s">
        <v>52</v>
      </c>
      <c r="Q169" s="2"/>
      <c r="R169" s="2" t="s">
        <v>53</v>
      </c>
      <c r="S169" s="2">
        <v>8210302201</v>
      </c>
      <c r="T169" s="2"/>
      <c r="U169" s="2"/>
      <c r="V169" s="2">
        <v>8000921820</v>
      </c>
      <c r="W169" s="2" t="s">
        <v>679</v>
      </c>
      <c r="X169" s="2">
        <v>0</v>
      </c>
      <c r="Y169" s="2" t="s">
        <v>55</v>
      </c>
      <c r="Z169" s="2" t="s">
        <v>55</v>
      </c>
      <c r="AA169" s="2" t="s">
        <v>56</v>
      </c>
      <c r="AB169" s="2">
        <v>14</v>
      </c>
      <c r="AC169" s="2" t="s">
        <v>57</v>
      </c>
      <c r="AD169" s="2">
        <v>4</v>
      </c>
    </row>
    <row r="170" spans="1:30" ht="30" x14ac:dyDescent="0.25">
      <c r="A170" s="2">
        <v>7</v>
      </c>
      <c r="B170" s="2" t="s">
        <v>49</v>
      </c>
      <c r="C170" s="2">
        <v>537</v>
      </c>
      <c r="D170" s="3">
        <v>43312</v>
      </c>
      <c r="E170" s="2" t="s">
        <v>680</v>
      </c>
      <c r="F170" s="2"/>
      <c r="G170" s="2" t="s">
        <v>663</v>
      </c>
      <c r="H170" s="2" t="s">
        <v>681</v>
      </c>
      <c r="I170" s="2" t="s">
        <v>51</v>
      </c>
      <c r="J170" s="3">
        <v>41170</v>
      </c>
      <c r="K170" s="2">
        <v>704</v>
      </c>
      <c r="L170" s="2"/>
      <c r="M170" s="2">
        <v>210</v>
      </c>
      <c r="N170" s="2">
        <v>199</v>
      </c>
      <c r="O170" s="2" t="s">
        <v>6</v>
      </c>
      <c r="P170" s="2" t="s">
        <v>52</v>
      </c>
      <c r="Q170" s="2"/>
      <c r="R170" s="2" t="s">
        <v>53</v>
      </c>
      <c r="S170" s="2">
        <v>8210302201</v>
      </c>
      <c r="T170" s="2" t="s">
        <v>682</v>
      </c>
      <c r="U170" s="2" t="s">
        <v>683</v>
      </c>
      <c r="V170" s="2">
        <v>9999999999</v>
      </c>
      <c r="W170" s="2" t="s">
        <v>472</v>
      </c>
      <c r="X170" s="2">
        <v>50000</v>
      </c>
      <c r="Y170" s="2" t="s">
        <v>55</v>
      </c>
      <c r="Z170" s="2" t="s">
        <v>55</v>
      </c>
      <c r="AA170" s="2" t="s">
        <v>56</v>
      </c>
      <c r="AB170" s="2">
        <v>13</v>
      </c>
      <c r="AC170" s="2" t="s">
        <v>57</v>
      </c>
      <c r="AD170" s="2">
        <v>0</v>
      </c>
    </row>
    <row r="171" spans="1:30" ht="30" x14ac:dyDescent="0.25">
      <c r="A171" s="2">
        <v>7</v>
      </c>
      <c r="B171" s="2" t="s">
        <v>49</v>
      </c>
      <c r="C171" s="2">
        <v>745</v>
      </c>
      <c r="D171" s="3">
        <v>44491</v>
      </c>
      <c r="E171" s="2" t="s">
        <v>684</v>
      </c>
      <c r="F171" s="2"/>
      <c r="G171" s="2" t="s">
        <v>685</v>
      </c>
      <c r="H171" s="2" t="s">
        <v>686</v>
      </c>
      <c r="I171" s="2" t="s">
        <v>67</v>
      </c>
      <c r="J171" s="3">
        <v>41328</v>
      </c>
      <c r="K171" s="2">
        <v>705</v>
      </c>
      <c r="L171" s="2"/>
      <c r="M171" s="2">
        <v>210</v>
      </c>
      <c r="N171" s="2">
        <v>173</v>
      </c>
      <c r="O171" s="2" t="s">
        <v>6</v>
      </c>
      <c r="P171" s="2"/>
      <c r="Q171" s="2"/>
      <c r="R171" s="2" t="s">
        <v>53</v>
      </c>
      <c r="S171" s="2">
        <v>8210302201</v>
      </c>
      <c r="T171" s="2" t="s">
        <v>687</v>
      </c>
      <c r="U171" s="2"/>
      <c r="V171" s="2">
        <v>9928674461</v>
      </c>
      <c r="W171" s="2" t="s">
        <v>201</v>
      </c>
      <c r="X171" s="2">
        <v>80000</v>
      </c>
      <c r="Y171" s="2" t="s">
        <v>55</v>
      </c>
      <c r="Z171" s="2" t="s">
        <v>55</v>
      </c>
      <c r="AA171" s="2"/>
      <c r="AB171" s="2">
        <v>12</v>
      </c>
      <c r="AC171" s="2" t="s">
        <v>57</v>
      </c>
      <c r="AD171" s="2">
        <v>0</v>
      </c>
    </row>
    <row r="172" spans="1:30" ht="30" x14ac:dyDescent="0.25">
      <c r="A172" s="2">
        <v>7</v>
      </c>
      <c r="B172" s="2" t="s">
        <v>49</v>
      </c>
      <c r="C172" s="2">
        <v>601</v>
      </c>
      <c r="D172" s="3">
        <v>43699</v>
      </c>
      <c r="E172" s="2" t="s">
        <v>688</v>
      </c>
      <c r="F172" s="2"/>
      <c r="G172" s="2" t="s">
        <v>689</v>
      </c>
      <c r="H172" s="2" t="s">
        <v>690</v>
      </c>
      <c r="I172" s="2" t="s">
        <v>67</v>
      </c>
      <c r="J172" s="3">
        <v>41137</v>
      </c>
      <c r="K172" s="2">
        <v>706</v>
      </c>
      <c r="L172" s="2"/>
      <c r="M172" s="2">
        <v>210</v>
      </c>
      <c r="N172" s="2">
        <v>195</v>
      </c>
      <c r="O172" s="2" t="s">
        <v>6</v>
      </c>
      <c r="P172" s="2"/>
      <c r="Q172" s="2"/>
      <c r="R172" s="2" t="s">
        <v>53</v>
      </c>
      <c r="S172" s="2">
        <v>8210302201</v>
      </c>
      <c r="T172" s="2" t="s">
        <v>691</v>
      </c>
      <c r="U172" s="2"/>
      <c r="V172" s="2">
        <v>9999999999</v>
      </c>
      <c r="W172" s="2" t="s">
        <v>201</v>
      </c>
      <c r="X172" s="2">
        <v>48000</v>
      </c>
      <c r="Y172" s="2" t="s">
        <v>55</v>
      </c>
      <c r="Z172" s="2" t="s">
        <v>55</v>
      </c>
      <c r="AA172" s="2"/>
      <c r="AB172" s="2">
        <v>13</v>
      </c>
      <c r="AC172" s="2" t="s">
        <v>57</v>
      </c>
      <c r="AD172" s="2">
        <v>0</v>
      </c>
    </row>
    <row r="173" spans="1:30" ht="30" x14ac:dyDescent="0.25">
      <c r="A173" s="2">
        <v>7</v>
      </c>
      <c r="B173" s="2" t="s">
        <v>49</v>
      </c>
      <c r="C173" s="2">
        <v>462</v>
      </c>
      <c r="D173" s="3">
        <v>43276</v>
      </c>
      <c r="E173" s="2" t="s">
        <v>692</v>
      </c>
      <c r="F173" s="2"/>
      <c r="G173" s="2" t="s">
        <v>693</v>
      </c>
      <c r="H173" s="2" t="s">
        <v>694</v>
      </c>
      <c r="I173" s="2" t="s">
        <v>67</v>
      </c>
      <c r="J173" s="3">
        <v>41214</v>
      </c>
      <c r="K173" s="2">
        <v>707</v>
      </c>
      <c r="L173" s="2"/>
      <c r="M173" s="2">
        <v>210</v>
      </c>
      <c r="N173" s="2">
        <v>189</v>
      </c>
      <c r="O173" s="2" t="s">
        <v>6</v>
      </c>
      <c r="P173" s="2" t="s">
        <v>52</v>
      </c>
      <c r="Q173" s="2"/>
      <c r="R173" s="2" t="s">
        <v>53</v>
      </c>
      <c r="S173" s="2">
        <v>8210302201</v>
      </c>
      <c r="T173" s="2" t="s">
        <v>695</v>
      </c>
      <c r="U173" s="2" t="s">
        <v>696</v>
      </c>
      <c r="V173" s="2">
        <v>9660060739</v>
      </c>
      <c r="W173" s="2" t="s">
        <v>472</v>
      </c>
      <c r="X173" s="2">
        <v>50000</v>
      </c>
      <c r="Y173" s="2" t="s">
        <v>55</v>
      </c>
      <c r="Z173" s="2" t="s">
        <v>55</v>
      </c>
      <c r="AA173" s="2" t="s">
        <v>56</v>
      </c>
      <c r="AB173" s="2">
        <v>13</v>
      </c>
      <c r="AC173" s="2" t="s">
        <v>57</v>
      </c>
      <c r="AD173" s="2">
        <v>0</v>
      </c>
    </row>
    <row r="174" spans="1:30" ht="45" x14ac:dyDescent="0.25">
      <c r="A174" s="2">
        <v>7</v>
      </c>
      <c r="B174" s="2" t="s">
        <v>49</v>
      </c>
      <c r="C174" s="2">
        <v>858</v>
      </c>
      <c r="D174" s="3">
        <v>43283</v>
      </c>
      <c r="E174" s="2" t="s">
        <v>697</v>
      </c>
      <c r="F174" s="2"/>
      <c r="G174" s="2" t="s">
        <v>698</v>
      </c>
      <c r="H174" s="2" t="s">
        <v>699</v>
      </c>
      <c r="I174" s="2" t="s">
        <v>67</v>
      </c>
      <c r="J174" s="3">
        <v>41212</v>
      </c>
      <c r="K174" s="2">
        <v>708</v>
      </c>
      <c r="L174" s="2"/>
      <c r="M174" s="2">
        <v>210</v>
      </c>
      <c r="N174" s="2">
        <v>185</v>
      </c>
      <c r="O174" s="2" t="s">
        <v>6</v>
      </c>
      <c r="P174" s="2" t="s">
        <v>52</v>
      </c>
      <c r="Q174" s="2"/>
      <c r="R174" s="2" t="s">
        <v>53</v>
      </c>
      <c r="S174" s="2">
        <v>8210302201</v>
      </c>
      <c r="T174" s="2" t="s">
        <v>700</v>
      </c>
      <c r="U174" s="2"/>
      <c r="V174" s="2">
        <v>9799689497</v>
      </c>
      <c r="W174" s="2" t="s">
        <v>701</v>
      </c>
      <c r="X174" s="2">
        <v>0</v>
      </c>
      <c r="Y174" s="2" t="s">
        <v>55</v>
      </c>
      <c r="Z174" s="2" t="s">
        <v>55</v>
      </c>
      <c r="AA174" s="2" t="s">
        <v>56</v>
      </c>
      <c r="AB174" s="2">
        <v>13</v>
      </c>
      <c r="AC174" s="2" t="s">
        <v>57</v>
      </c>
      <c r="AD174" s="2">
        <v>3</v>
      </c>
    </row>
    <row r="175" spans="1:30" ht="30" x14ac:dyDescent="0.25">
      <c r="A175" s="2">
        <v>7</v>
      </c>
      <c r="B175" s="2" t="s">
        <v>49</v>
      </c>
      <c r="C175" s="2">
        <v>594</v>
      </c>
      <c r="D175" s="3">
        <v>43679</v>
      </c>
      <c r="E175" s="2" t="s">
        <v>702</v>
      </c>
      <c r="F175" s="2"/>
      <c r="G175" s="2" t="s">
        <v>703</v>
      </c>
      <c r="H175" s="2" t="s">
        <v>704</v>
      </c>
      <c r="I175" s="2" t="s">
        <v>67</v>
      </c>
      <c r="J175" s="3">
        <v>41049</v>
      </c>
      <c r="K175" s="2">
        <v>709</v>
      </c>
      <c r="L175" s="2"/>
      <c r="M175" s="2">
        <v>210</v>
      </c>
      <c r="N175" s="2">
        <v>186</v>
      </c>
      <c r="O175" s="2" t="s">
        <v>4</v>
      </c>
      <c r="P175" s="2" t="s">
        <v>52</v>
      </c>
      <c r="Q175" s="2"/>
      <c r="R175" s="2" t="s">
        <v>53</v>
      </c>
      <c r="S175" s="2">
        <v>8210302201</v>
      </c>
      <c r="T175" s="2" t="s">
        <v>705</v>
      </c>
      <c r="U175" s="2" t="s">
        <v>706</v>
      </c>
      <c r="V175" s="2">
        <v>7742178143</v>
      </c>
      <c r="W175" s="2" t="s">
        <v>500</v>
      </c>
      <c r="X175" s="2">
        <v>50000</v>
      </c>
      <c r="Y175" s="2" t="s">
        <v>55</v>
      </c>
      <c r="Z175" s="2" t="s">
        <v>55</v>
      </c>
      <c r="AA175" s="2" t="s">
        <v>56</v>
      </c>
      <c r="AB175" s="2">
        <v>13</v>
      </c>
      <c r="AC175" s="2" t="s">
        <v>57</v>
      </c>
      <c r="AD175" s="2">
        <v>4</v>
      </c>
    </row>
    <row r="176" spans="1:30" ht="30" x14ac:dyDescent="0.25">
      <c r="A176" s="2">
        <v>7</v>
      </c>
      <c r="B176" s="2" t="s">
        <v>49</v>
      </c>
      <c r="C176" s="2">
        <v>503</v>
      </c>
      <c r="D176" s="3">
        <v>43292</v>
      </c>
      <c r="E176" s="2" t="s">
        <v>707</v>
      </c>
      <c r="F176" s="2"/>
      <c r="G176" s="2" t="s">
        <v>708</v>
      </c>
      <c r="H176" s="2" t="s">
        <v>690</v>
      </c>
      <c r="I176" s="2" t="s">
        <v>51</v>
      </c>
      <c r="J176" s="3">
        <v>41275</v>
      </c>
      <c r="K176" s="2">
        <v>710</v>
      </c>
      <c r="L176" s="2"/>
      <c r="M176" s="2">
        <v>210</v>
      </c>
      <c r="N176" s="2">
        <v>195</v>
      </c>
      <c r="O176" s="2" t="s">
        <v>6</v>
      </c>
      <c r="P176" s="2" t="s">
        <v>52</v>
      </c>
      <c r="Q176" s="2"/>
      <c r="R176" s="2" t="s">
        <v>53</v>
      </c>
      <c r="S176" s="2">
        <v>8210302201</v>
      </c>
      <c r="T176" s="2" t="s">
        <v>709</v>
      </c>
      <c r="U176" s="2" t="s">
        <v>710</v>
      </c>
      <c r="V176" s="2">
        <v>9999999999</v>
      </c>
      <c r="W176" s="2" t="s">
        <v>472</v>
      </c>
      <c r="X176" s="2">
        <v>65000</v>
      </c>
      <c r="Y176" s="2" t="s">
        <v>55</v>
      </c>
      <c r="Z176" s="2" t="s">
        <v>55</v>
      </c>
      <c r="AA176" s="2" t="s">
        <v>56</v>
      </c>
      <c r="AB176" s="2">
        <v>12</v>
      </c>
      <c r="AC176" s="2" t="s">
        <v>57</v>
      </c>
      <c r="AD176" s="2">
        <v>1</v>
      </c>
    </row>
    <row r="177" spans="1:30" ht="45" x14ac:dyDescent="0.25">
      <c r="A177" s="2">
        <v>7</v>
      </c>
      <c r="B177" s="2" t="s">
        <v>49</v>
      </c>
      <c r="C177" s="2">
        <v>824</v>
      </c>
      <c r="D177" s="3">
        <v>43291</v>
      </c>
      <c r="E177" s="2" t="s">
        <v>711</v>
      </c>
      <c r="F177" s="2"/>
      <c r="G177" s="2" t="s">
        <v>712</v>
      </c>
      <c r="H177" s="2" t="s">
        <v>493</v>
      </c>
      <c r="I177" s="2" t="s">
        <v>67</v>
      </c>
      <c r="J177" s="3">
        <v>41275</v>
      </c>
      <c r="K177" s="2">
        <v>711</v>
      </c>
      <c r="L177" s="2"/>
      <c r="M177" s="2">
        <v>210</v>
      </c>
      <c r="N177" s="2">
        <v>161</v>
      </c>
      <c r="O177" s="2" t="s">
        <v>5</v>
      </c>
      <c r="P177" s="2" t="s">
        <v>52</v>
      </c>
      <c r="Q177" s="2"/>
      <c r="R177" s="2" t="s">
        <v>53</v>
      </c>
      <c r="S177" s="2">
        <v>8210302201</v>
      </c>
      <c r="T177" s="2" t="s">
        <v>713</v>
      </c>
      <c r="U177" s="2"/>
      <c r="V177" s="2">
        <v>8302060752</v>
      </c>
      <c r="W177" s="2" t="s">
        <v>714</v>
      </c>
      <c r="X177" s="2">
        <v>0</v>
      </c>
      <c r="Y177" s="2" t="s">
        <v>55</v>
      </c>
      <c r="Z177" s="2" t="s">
        <v>55</v>
      </c>
      <c r="AA177" s="2" t="s">
        <v>56</v>
      </c>
      <c r="AB177" s="2">
        <v>12</v>
      </c>
      <c r="AC177" s="2" t="s">
        <v>57</v>
      </c>
      <c r="AD177" s="2">
        <v>4</v>
      </c>
    </row>
    <row r="178" spans="1:30" ht="30" x14ac:dyDescent="0.25">
      <c r="A178" s="2">
        <v>7</v>
      </c>
      <c r="B178" s="2" t="s">
        <v>49</v>
      </c>
      <c r="C178" s="2">
        <v>466</v>
      </c>
      <c r="D178" s="3">
        <v>43283</v>
      </c>
      <c r="E178" s="2" t="s">
        <v>715</v>
      </c>
      <c r="F178" s="2"/>
      <c r="G178" s="2" t="s">
        <v>716</v>
      </c>
      <c r="H178" s="2" t="s">
        <v>717</v>
      </c>
      <c r="I178" s="2" t="s">
        <v>67</v>
      </c>
      <c r="J178" s="3">
        <v>41434</v>
      </c>
      <c r="K178" s="2">
        <v>712</v>
      </c>
      <c r="L178" s="2"/>
      <c r="M178" s="2">
        <v>210</v>
      </c>
      <c r="N178" s="2">
        <v>193</v>
      </c>
      <c r="O178" s="2" t="s">
        <v>4</v>
      </c>
      <c r="P178" s="2" t="s">
        <v>52</v>
      </c>
      <c r="Q178" s="2"/>
      <c r="R178" s="2" t="s">
        <v>53</v>
      </c>
      <c r="S178" s="2">
        <v>8210302201</v>
      </c>
      <c r="T178" s="2" t="s">
        <v>718</v>
      </c>
      <c r="U178" s="2" t="s">
        <v>719</v>
      </c>
      <c r="V178" s="2">
        <v>9460361075</v>
      </c>
      <c r="W178" s="2" t="s">
        <v>472</v>
      </c>
      <c r="X178" s="2">
        <v>50000</v>
      </c>
      <c r="Y178" s="2" t="s">
        <v>55</v>
      </c>
      <c r="Z178" s="2" t="s">
        <v>55</v>
      </c>
      <c r="AA178" s="2" t="s">
        <v>56</v>
      </c>
      <c r="AB178" s="2">
        <v>12</v>
      </c>
      <c r="AC178" s="2" t="s">
        <v>57</v>
      </c>
      <c r="AD178" s="2">
        <v>0</v>
      </c>
    </row>
    <row r="179" spans="1:30" ht="30" x14ac:dyDescent="0.25">
      <c r="A179" s="2">
        <v>7</v>
      </c>
      <c r="B179" s="2" t="s">
        <v>49</v>
      </c>
      <c r="C179" s="2">
        <v>582</v>
      </c>
      <c r="D179" s="3">
        <v>43673</v>
      </c>
      <c r="E179" s="2" t="s">
        <v>720</v>
      </c>
      <c r="F179" s="2"/>
      <c r="G179" s="2" t="s">
        <v>721</v>
      </c>
      <c r="H179" s="2" t="s">
        <v>722</v>
      </c>
      <c r="I179" s="2" t="s">
        <v>51</v>
      </c>
      <c r="J179" s="3">
        <v>41131</v>
      </c>
      <c r="K179" s="2">
        <v>713</v>
      </c>
      <c r="L179" s="2"/>
      <c r="M179" s="2">
        <v>210</v>
      </c>
      <c r="N179" s="2">
        <v>182</v>
      </c>
      <c r="O179" s="2" t="s">
        <v>4</v>
      </c>
      <c r="P179" s="2" t="s">
        <v>52</v>
      </c>
      <c r="Q179" s="2"/>
      <c r="R179" s="2" t="s">
        <v>53</v>
      </c>
      <c r="S179" s="2">
        <v>8210302201</v>
      </c>
      <c r="T179" s="2" t="s">
        <v>723</v>
      </c>
      <c r="U179" s="2" t="s">
        <v>724</v>
      </c>
      <c r="V179" s="2">
        <v>9784164156</v>
      </c>
      <c r="W179" s="2" t="s">
        <v>467</v>
      </c>
      <c r="X179" s="2">
        <v>60000</v>
      </c>
      <c r="Y179" s="2" t="s">
        <v>55</v>
      </c>
      <c r="Z179" s="2" t="s">
        <v>55</v>
      </c>
      <c r="AA179" s="2" t="s">
        <v>56</v>
      </c>
      <c r="AB179" s="2">
        <v>13</v>
      </c>
      <c r="AC179" s="2" t="s">
        <v>57</v>
      </c>
      <c r="AD179" s="2">
        <v>0</v>
      </c>
    </row>
    <row r="180" spans="1:30" ht="45" x14ac:dyDescent="0.25">
      <c r="A180" s="2">
        <v>7</v>
      </c>
      <c r="B180" s="2" t="s">
        <v>49</v>
      </c>
      <c r="C180" s="2">
        <v>859</v>
      </c>
      <c r="D180" s="3">
        <v>43283</v>
      </c>
      <c r="E180" s="2" t="s">
        <v>725</v>
      </c>
      <c r="F180" s="2"/>
      <c r="G180" s="2" t="s">
        <v>726</v>
      </c>
      <c r="H180" s="2" t="s">
        <v>512</v>
      </c>
      <c r="I180" s="2" t="s">
        <v>51</v>
      </c>
      <c r="J180" s="3">
        <v>41522</v>
      </c>
      <c r="K180" s="2">
        <v>714</v>
      </c>
      <c r="L180" s="2"/>
      <c r="M180" s="2">
        <v>210</v>
      </c>
      <c r="N180" s="2">
        <v>192</v>
      </c>
      <c r="O180" s="2" t="s">
        <v>4</v>
      </c>
      <c r="P180" s="2" t="s">
        <v>52</v>
      </c>
      <c r="Q180" s="2"/>
      <c r="R180" s="2" t="s">
        <v>53</v>
      </c>
      <c r="S180" s="2">
        <v>8210302201</v>
      </c>
      <c r="T180" s="2"/>
      <c r="U180" s="2"/>
      <c r="V180" s="2">
        <v>9799689497</v>
      </c>
      <c r="W180" s="2" t="s">
        <v>701</v>
      </c>
      <c r="X180" s="2">
        <v>0</v>
      </c>
      <c r="Y180" s="2" t="s">
        <v>55</v>
      </c>
      <c r="Z180" s="2" t="s">
        <v>55</v>
      </c>
      <c r="AA180" s="2" t="s">
        <v>56</v>
      </c>
      <c r="AB180" s="2">
        <v>12</v>
      </c>
      <c r="AC180" s="2" t="s">
        <v>57</v>
      </c>
      <c r="AD180" s="2">
        <v>3</v>
      </c>
    </row>
    <row r="181" spans="1:30" ht="30" x14ac:dyDescent="0.25">
      <c r="A181" s="2">
        <v>7</v>
      </c>
      <c r="B181" s="2" t="s">
        <v>49</v>
      </c>
      <c r="C181" s="2">
        <v>820</v>
      </c>
      <c r="D181" s="3">
        <v>45118</v>
      </c>
      <c r="E181" s="2" t="s">
        <v>727</v>
      </c>
      <c r="F181" s="2"/>
      <c r="G181" s="2" t="s">
        <v>728</v>
      </c>
      <c r="H181" s="2" t="s">
        <v>729</v>
      </c>
      <c r="I181" s="2" t="s">
        <v>51</v>
      </c>
      <c r="J181" s="3">
        <v>41465</v>
      </c>
      <c r="K181" s="2">
        <v>715</v>
      </c>
      <c r="L181" s="2"/>
      <c r="M181" s="2">
        <v>210</v>
      </c>
      <c r="N181" s="2">
        <v>194</v>
      </c>
      <c r="O181" s="2" t="s">
        <v>6</v>
      </c>
      <c r="P181" s="2" t="s">
        <v>52</v>
      </c>
      <c r="Q181" s="2"/>
      <c r="R181" s="2" t="s">
        <v>53</v>
      </c>
      <c r="S181" s="2">
        <v>8210302201</v>
      </c>
      <c r="T181" s="2"/>
      <c r="U181" s="2"/>
      <c r="V181" s="2">
        <v>9024631677</v>
      </c>
      <c r="W181" s="2" t="s">
        <v>730</v>
      </c>
      <c r="X181" s="2"/>
      <c r="Y181" s="2" t="s">
        <v>55</v>
      </c>
      <c r="Z181" s="2" t="s">
        <v>55</v>
      </c>
      <c r="AA181" s="2" t="s">
        <v>56</v>
      </c>
      <c r="AB181" s="2">
        <v>12</v>
      </c>
      <c r="AC181" s="2" t="s">
        <v>57</v>
      </c>
      <c r="AD181" s="2">
        <v>3</v>
      </c>
    </row>
    <row r="182" spans="1:30" ht="30" x14ac:dyDescent="0.25">
      <c r="A182" s="2">
        <v>7</v>
      </c>
      <c r="B182" s="2" t="s">
        <v>49</v>
      </c>
      <c r="C182" s="2">
        <v>504</v>
      </c>
      <c r="D182" s="3">
        <v>43292</v>
      </c>
      <c r="E182" s="2" t="s">
        <v>731</v>
      </c>
      <c r="F182" s="2"/>
      <c r="G182" s="2" t="s">
        <v>732</v>
      </c>
      <c r="H182" s="2" t="s">
        <v>451</v>
      </c>
      <c r="I182" s="2" t="s">
        <v>51</v>
      </c>
      <c r="J182" s="3">
        <v>41160</v>
      </c>
      <c r="K182" s="2">
        <v>716</v>
      </c>
      <c r="L182" s="2"/>
      <c r="M182" s="2">
        <v>210</v>
      </c>
      <c r="N182" s="2">
        <v>188</v>
      </c>
      <c r="O182" s="2" t="s">
        <v>6</v>
      </c>
      <c r="P182" s="2" t="s">
        <v>52</v>
      </c>
      <c r="Q182" s="2"/>
      <c r="R182" s="2" t="s">
        <v>53</v>
      </c>
      <c r="S182" s="2">
        <v>8210302201</v>
      </c>
      <c r="T182" s="2" t="s">
        <v>733</v>
      </c>
      <c r="U182" s="2"/>
      <c r="V182" s="2">
        <v>9602303051</v>
      </c>
      <c r="W182" s="2" t="s">
        <v>472</v>
      </c>
      <c r="X182" s="2">
        <v>36000</v>
      </c>
      <c r="Y182" s="2" t="s">
        <v>55</v>
      </c>
      <c r="Z182" s="2" t="s">
        <v>55</v>
      </c>
      <c r="AA182" s="2" t="s">
        <v>56</v>
      </c>
      <c r="AB182" s="2">
        <v>13</v>
      </c>
      <c r="AC182" s="2" t="s">
        <v>57</v>
      </c>
      <c r="AD182" s="2">
        <v>2</v>
      </c>
    </row>
    <row r="183" spans="1:30" ht="30" x14ac:dyDescent="0.25">
      <c r="A183" s="2">
        <v>7</v>
      </c>
      <c r="B183" s="2" t="s">
        <v>49</v>
      </c>
      <c r="C183" s="2">
        <v>536</v>
      </c>
      <c r="D183" s="3">
        <v>43312</v>
      </c>
      <c r="E183" s="2" t="s">
        <v>731</v>
      </c>
      <c r="F183" s="2"/>
      <c r="G183" s="2" t="s">
        <v>734</v>
      </c>
      <c r="H183" s="2" t="s">
        <v>554</v>
      </c>
      <c r="I183" s="2" t="s">
        <v>51</v>
      </c>
      <c r="J183" s="3">
        <v>41229</v>
      </c>
      <c r="K183" s="2">
        <v>718</v>
      </c>
      <c r="L183" s="2"/>
      <c r="M183" s="2">
        <v>210</v>
      </c>
      <c r="N183" s="2">
        <v>145</v>
      </c>
      <c r="O183" s="2" t="s">
        <v>6</v>
      </c>
      <c r="P183" s="2" t="s">
        <v>52</v>
      </c>
      <c r="Q183" s="2"/>
      <c r="R183" s="2" t="s">
        <v>53</v>
      </c>
      <c r="S183" s="2">
        <v>8210302201</v>
      </c>
      <c r="T183" s="2" t="s">
        <v>735</v>
      </c>
      <c r="U183" s="2" t="s">
        <v>736</v>
      </c>
      <c r="V183" s="2">
        <v>9999999999</v>
      </c>
      <c r="W183" s="2" t="s">
        <v>472</v>
      </c>
      <c r="X183" s="2">
        <v>40000</v>
      </c>
      <c r="Y183" s="2" t="s">
        <v>55</v>
      </c>
      <c r="Z183" s="2" t="s">
        <v>55</v>
      </c>
      <c r="AA183" s="2" t="s">
        <v>56</v>
      </c>
      <c r="AB183" s="2">
        <v>13</v>
      </c>
      <c r="AC183" s="2" t="s">
        <v>57</v>
      </c>
      <c r="AD183" s="2">
        <v>0</v>
      </c>
    </row>
    <row r="184" spans="1:30" ht="30" x14ac:dyDescent="0.25">
      <c r="A184" s="2">
        <v>7</v>
      </c>
      <c r="B184" s="2" t="s">
        <v>49</v>
      </c>
      <c r="C184" s="2">
        <v>388</v>
      </c>
      <c r="D184" s="3">
        <v>42917</v>
      </c>
      <c r="E184" s="2" t="s">
        <v>731</v>
      </c>
      <c r="F184" s="2"/>
      <c r="G184" s="2" t="s">
        <v>737</v>
      </c>
      <c r="H184" s="2" t="s">
        <v>738</v>
      </c>
      <c r="I184" s="2" t="s">
        <v>51</v>
      </c>
      <c r="J184" s="3">
        <v>40798</v>
      </c>
      <c r="K184" s="2">
        <v>717</v>
      </c>
      <c r="L184" s="2"/>
      <c r="M184" s="2">
        <v>210</v>
      </c>
      <c r="N184" s="2">
        <v>191</v>
      </c>
      <c r="O184" s="2" t="s">
        <v>6</v>
      </c>
      <c r="P184" s="2" t="s">
        <v>52</v>
      </c>
      <c r="Q184" s="2"/>
      <c r="R184" s="2" t="s">
        <v>53</v>
      </c>
      <c r="S184" s="2">
        <v>8210302201</v>
      </c>
      <c r="T184" s="2" t="s">
        <v>739</v>
      </c>
      <c r="U184" s="2"/>
      <c r="V184" s="2">
        <v>9460361075</v>
      </c>
      <c r="W184" s="2" t="s">
        <v>740</v>
      </c>
      <c r="X184" s="2">
        <v>70000</v>
      </c>
      <c r="Y184" s="2" t="s">
        <v>55</v>
      </c>
      <c r="Z184" s="2" t="s">
        <v>55</v>
      </c>
      <c r="AA184" s="2" t="s">
        <v>56</v>
      </c>
      <c r="AB184" s="2">
        <v>14</v>
      </c>
      <c r="AC184" s="2" t="s">
        <v>57</v>
      </c>
      <c r="AD184" s="2">
        <v>3</v>
      </c>
    </row>
    <row r="185" spans="1:30" ht="45" x14ac:dyDescent="0.25">
      <c r="A185" s="2">
        <v>7</v>
      </c>
      <c r="B185" s="2" t="s">
        <v>49</v>
      </c>
      <c r="C185" s="2">
        <v>868</v>
      </c>
      <c r="D185" s="3">
        <v>43283</v>
      </c>
      <c r="E185" s="2" t="s">
        <v>741</v>
      </c>
      <c r="F185" s="2"/>
      <c r="G185" s="2" t="s">
        <v>742</v>
      </c>
      <c r="H185" s="2" t="s">
        <v>743</v>
      </c>
      <c r="I185" s="2" t="s">
        <v>51</v>
      </c>
      <c r="J185" s="3">
        <v>41541</v>
      </c>
      <c r="K185" s="2">
        <v>719</v>
      </c>
      <c r="L185" s="2"/>
      <c r="M185" s="2">
        <v>210</v>
      </c>
      <c r="N185" s="2">
        <v>196</v>
      </c>
      <c r="O185" s="2" t="s">
        <v>6</v>
      </c>
      <c r="P185" s="2" t="s">
        <v>52</v>
      </c>
      <c r="Q185" s="2"/>
      <c r="R185" s="2" t="s">
        <v>53</v>
      </c>
      <c r="S185" s="2">
        <v>8210302201</v>
      </c>
      <c r="T185" s="2" t="s">
        <v>744</v>
      </c>
      <c r="U185" s="2"/>
      <c r="V185" s="2">
        <v>9784480390</v>
      </c>
      <c r="W185" s="2" t="s">
        <v>701</v>
      </c>
      <c r="X185" s="2">
        <v>0</v>
      </c>
      <c r="Y185" s="2" t="s">
        <v>55</v>
      </c>
      <c r="Z185" s="2" t="s">
        <v>55</v>
      </c>
      <c r="AA185" s="2" t="s">
        <v>56</v>
      </c>
      <c r="AB185" s="2">
        <v>12</v>
      </c>
      <c r="AC185" s="2" t="s">
        <v>57</v>
      </c>
      <c r="AD185" s="2">
        <v>3</v>
      </c>
    </row>
    <row r="186" spans="1:30" ht="45" x14ac:dyDescent="0.25">
      <c r="A186" s="2">
        <v>7</v>
      </c>
      <c r="B186" s="2" t="s">
        <v>49</v>
      </c>
      <c r="C186" s="2">
        <v>826</v>
      </c>
      <c r="D186" s="3">
        <v>43288</v>
      </c>
      <c r="E186" s="2" t="s">
        <v>745</v>
      </c>
      <c r="F186" s="2"/>
      <c r="G186" s="2" t="s">
        <v>746</v>
      </c>
      <c r="H186" s="2" t="s">
        <v>747</v>
      </c>
      <c r="I186" s="2" t="s">
        <v>67</v>
      </c>
      <c r="J186" s="3">
        <v>41194</v>
      </c>
      <c r="K186" s="2">
        <v>720</v>
      </c>
      <c r="L186" s="2"/>
      <c r="M186" s="2">
        <v>210</v>
      </c>
      <c r="N186" s="2">
        <v>189</v>
      </c>
      <c r="O186" s="2" t="s">
        <v>4</v>
      </c>
      <c r="P186" s="2" t="s">
        <v>52</v>
      </c>
      <c r="Q186" s="2"/>
      <c r="R186" s="2" t="s">
        <v>53</v>
      </c>
      <c r="S186" s="2">
        <v>8210302201</v>
      </c>
      <c r="T186" s="2" t="s">
        <v>748</v>
      </c>
      <c r="U186" s="2"/>
      <c r="V186" s="2">
        <v>7412969231</v>
      </c>
      <c r="W186" s="2" t="s">
        <v>749</v>
      </c>
      <c r="X186" s="2">
        <v>0</v>
      </c>
      <c r="Y186" s="2" t="s">
        <v>55</v>
      </c>
      <c r="Z186" s="2" t="s">
        <v>55</v>
      </c>
      <c r="AA186" s="2" t="s">
        <v>56</v>
      </c>
      <c r="AB186" s="2">
        <v>13</v>
      </c>
      <c r="AC186" s="2" t="s">
        <v>57</v>
      </c>
      <c r="AD186" s="2">
        <v>4</v>
      </c>
    </row>
    <row r="187" spans="1:30" ht="30" x14ac:dyDescent="0.25">
      <c r="A187" s="2">
        <v>7</v>
      </c>
      <c r="B187" s="2" t="s">
        <v>49</v>
      </c>
      <c r="C187" s="2">
        <v>665</v>
      </c>
      <c r="D187" s="3">
        <v>44253</v>
      </c>
      <c r="E187" s="2" t="s">
        <v>750</v>
      </c>
      <c r="F187" s="2"/>
      <c r="G187" s="2" t="s">
        <v>751</v>
      </c>
      <c r="H187" s="2" t="s">
        <v>752</v>
      </c>
      <c r="I187" s="2" t="s">
        <v>67</v>
      </c>
      <c r="J187" s="3">
        <v>40179</v>
      </c>
      <c r="K187" s="2">
        <v>721</v>
      </c>
      <c r="L187" s="2"/>
      <c r="M187" s="2">
        <v>210</v>
      </c>
      <c r="N187" s="2">
        <v>194</v>
      </c>
      <c r="O187" s="2" t="s">
        <v>6</v>
      </c>
      <c r="P187" s="2"/>
      <c r="Q187" s="2"/>
      <c r="R187" s="2" t="s">
        <v>53</v>
      </c>
      <c r="S187" s="2">
        <v>8210302201</v>
      </c>
      <c r="T187" s="2" t="s">
        <v>753</v>
      </c>
      <c r="U187" s="2"/>
      <c r="V187" s="2">
        <v>9166214978</v>
      </c>
      <c r="W187" s="2" t="s">
        <v>201</v>
      </c>
      <c r="X187" s="2">
        <v>60000</v>
      </c>
      <c r="Y187" s="2" t="s">
        <v>55</v>
      </c>
      <c r="Z187" s="2" t="s">
        <v>55</v>
      </c>
      <c r="AA187" s="2"/>
      <c r="AB187" s="2">
        <v>15</v>
      </c>
      <c r="AC187" s="2" t="s">
        <v>57</v>
      </c>
      <c r="AD187" s="2">
        <v>0</v>
      </c>
    </row>
    <row r="188" spans="1:30" ht="30" x14ac:dyDescent="0.25">
      <c r="A188" s="2">
        <v>7</v>
      </c>
      <c r="B188" s="2" t="s">
        <v>49</v>
      </c>
      <c r="C188" s="2">
        <v>703</v>
      </c>
      <c r="D188" s="3">
        <v>44399</v>
      </c>
      <c r="E188" s="2" t="s">
        <v>754</v>
      </c>
      <c r="F188" s="2"/>
      <c r="G188" s="2" t="s">
        <v>755</v>
      </c>
      <c r="H188" s="2" t="s">
        <v>756</v>
      </c>
      <c r="I188" s="2" t="s">
        <v>51</v>
      </c>
      <c r="J188" s="3">
        <v>40396</v>
      </c>
      <c r="K188" s="2">
        <v>722</v>
      </c>
      <c r="L188" s="2"/>
      <c r="M188" s="2">
        <v>210</v>
      </c>
      <c r="N188" s="2">
        <v>172</v>
      </c>
      <c r="O188" s="2" t="s">
        <v>6</v>
      </c>
      <c r="P188" s="2" t="s">
        <v>52</v>
      </c>
      <c r="Q188" s="2"/>
      <c r="R188" s="2" t="s">
        <v>53</v>
      </c>
      <c r="S188" s="2">
        <v>8210302201</v>
      </c>
      <c r="T188" s="2" t="s">
        <v>757</v>
      </c>
      <c r="U188" s="2"/>
      <c r="V188" s="2">
        <v>7357662265</v>
      </c>
      <c r="W188" s="2" t="s">
        <v>758</v>
      </c>
      <c r="X188" s="2">
        <v>70000</v>
      </c>
      <c r="Y188" s="2" t="s">
        <v>55</v>
      </c>
      <c r="Z188" s="2" t="s">
        <v>55</v>
      </c>
      <c r="AA188" s="2" t="s">
        <v>56</v>
      </c>
      <c r="AB188" s="2">
        <v>15</v>
      </c>
      <c r="AC188" s="2" t="s">
        <v>57</v>
      </c>
      <c r="AD188" s="2">
        <v>3</v>
      </c>
    </row>
    <row r="189" spans="1:30" ht="30" x14ac:dyDescent="0.25">
      <c r="A189" s="2">
        <v>7</v>
      </c>
      <c r="B189" s="2" t="s">
        <v>49</v>
      </c>
      <c r="C189" s="2">
        <v>848</v>
      </c>
      <c r="D189" s="3">
        <v>45126</v>
      </c>
      <c r="E189" s="2" t="s">
        <v>759</v>
      </c>
      <c r="F189" s="2"/>
      <c r="G189" s="2" t="s">
        <v>760</v>
      </c>
      <c r="H189" s="2" t="s">
        <v>761</v>
      </c>
      <c r="I189" s="2" t="s">
        <v>51</v>
      </c>
      <c r="J189" s="3">
        <v>40892</v>
      </c>
      <c r="K189" s="2">
        <v>723</v>
      </c>
      <c r="L189" s="2"/>
      <c r="M189" s="2">
        <v>210</v>
      </c>
      <c r="N189" s="2">
        <v>177</v>
      </c>
      <c r="O189" s="2" t="s">
        <v>6</v>
      </c>
      <c r="P189" s="2" t="s">
        <v>543</v>
      </c>
      <c r="Q189" s="2"/>
      <c r="R189" s="2" t="s">
        <v>53</v>
      </c>
      <c r="S189" s="2">
        <v>8210302201</v>
      </c>
      <c r="T189" s="2" t="s">
        <v>762</v>
      </c>
      <c r="U189" s="2"/>
      <c r="V189" s="2">
        <v>9950097940</v>
      </c>
      <c r="W189" s="2" t="s">
        <v>763</v>
      </c>
      <c r="X189" s="2">
        <v>0</v>
      </c>
      <c r="Y189" s="2" t="s">
        <v>55</v>
      </c>
      <c r="Z189" s="2" t="s">
        <v>55</v>
      </c>
      <c r="AA189" s="2" t="s">
        <v>546</v>
      </c>
      <c r="AB189" s="2">
        <v>14</v>
      </c>
      <c r="AC189" s="2" t="s">
        <v>57</v>
      </c>
      <c r="AD189" s="2"/>
    </row>
    <row r="190" spans="1:30" ht="45" x14ac:dyDescent="0.25">
      <c r="A190" s="2">
        <v>7</v>
      </c>
      <c r="B190" s="2" t="s">
        <v>49</v>
      </c>
      <c r="C190" s="2">
        <v>869</v>
      </c>
      <c r="D190" s="3">
        <v>43283</v>
      </c>
      <c r="E190" s="2" t="s">
        <v>764</v>
      </c>
      <c r="F190" s="2"/>
      <c r="G190" s="2" t="s">
        <v>765</v>
      </c>
      <c r="H190" s="2" t="s">
        <v>766</v>
      </c>
      <c r="I190" s="2" t="s">
        <v>51</v>
      </c>
      <c r="J190" s="3">
        <v>41302</v>
      </c>
      <c r="K190" s="2">
        <v>724</v>
      </c>
      <c r="L190" s="2"/>
      <c r="M190" s="2">
        <v>210</v>
      </c>
      <c r="N190" s="2">
        <v>184</v>
      </c>
      <c r="O190" s="2" t="s">
        <v>7</v>
      </c>
      <c r="P190" s="2" t="s">
        <v>52</v>
      </c>
      <c r="Q190" s="2"/>
      <c r="R190" s="2" t="s">
        <v>53</v>
      </c>
      <c r="S190" s="2">
        <v>8210302201</v>
      </c>
      <c r="T190" s="2" t="s">
        <v>767</v>
      </c>
      <c r="U190" s="2"/>
      <c r="V190" s="2">
        <v>9929266488</v>
      </c>
      <c r="W190" s="2" t="s">
        <v>701</v>
      </c>
      <c r="X190" s="2">
        <v>0</v>
      </c>
      <c r="Y190" s="2" t="s">
        <v>55</v>
      </c>
      <c r="Z190" s="2" t="s">
        <v>55</v>
      </c>
      <c r="AA190" s="2" t="s">
        <v>56</v>
      </c>
      <c r="AB190" s="2">
        <v>12</v>
      </c>
      <c r="AC190" s="2" t="s">
        <v>57</v>
      </c>
      <c r="AD190" s="2">
        <v>3</v>
      </c>
    </row>
    <row r="191" spans="1:30" ht="45" x14ac:dyDescent="0.25">
      <c r="A191" s="2">
        <v>7</v>
      </c>
      <c r="B191" s="2" t="s">
        <v>49</v>
      </c>
      <c r="C191" s="2">
        <v>847</v>
      </c>
      <c r="D191" s="3">
        <v>43291</v>
      </c>
      <c r="E191" s="2" t="s">
        <v>768</v>
      </c>
      <c r="F191" s="2"/>
      <c r="G191" s="2" t="s">
        <v>511</v>
      </c>
      <c r="H191" s="2" t="s">
        <v>657</v>
      </c>
      <c r="I191" s="2" t="s">
        <v>51</v>
      </c>
      <c r="J191" s="3">
        <v>41510</v>
      </c>
      <c r="K191" s="2">
        <v>725</v>
      </c>
      <c r="L191" s="2"/>
      <c r="M191" s="2">
        <v>210</v>
      </c>
      <c r="N191" s="2">
        <v>185</v>
      </c>
      <c r="O191" s="2" t="s">
        <v>6</v>
      </c>
      <c r="P191" s="2" t="s">
        <v>52</v>
      </c>
      <c r="Q191" s="2"/>
      <c r="R191" s="2" t="s">
        <v>53</v>
      </c>
      <c r="S191" s="2">
        <v>8210302201</v>
      </c>
      <c r="T191" s="2" t="s">
        <v>769</v>
      </c>
      <c r="U191" s="2"/>
      <c r="V191" s="2">
        <v>9664229468</v>
      </c>
      <c r="W191" s="2" t="s">
        <v>675</v>
      </c>
      <c r="X191" s="2">
        <v>0</v>
      </c>
      <c r="Y191" s="2" t="s">
        <v>55</v>
      </c>
      <c r="Z191" s="2" t="s">
        <v>55</v>
      </c>
      <c r="AA191" s="2" t="s">
        <v>56</v>
      </c>
      <c r="AB191" s="2">
        <v>12</v>
      </c>
      <c r="AC191" s="2" t="s">
        <v>57</v>
      </c>
      <c r="AD191" s="2">
        <v>3</v>
      </c>
    </row>
    <row r="192" spans="1:30" ht="45" x14ac:dyDescent="0.25">
      <c r="A192" s="2">
        <v>7</v>
      </c>
      <c r="B192" s="2" t="s">
        <v>49</v>
      </c>
      <c r="C192" s="2">
        <v>870</v>
      </c>
      <c r="D192" s="3">
        <v>44451</v>
      </c>
      <c r="E192" s="2" t="s">
        <v>770</v>
      </c>
      <c r="F192" s="2"/>
      <c r="G192" s="2" t="s">
        <v>548</v>
      </c>
      <c r="H192" s="2" t="s">
        <v>756</v>
      </c>
      <c r="I192" s="2" t="s">
        <v>51</v>
      </c>
      <c r="J192" s="3">
        <v>40317</v>
      </c>
      <c r="K192" s="2">
        <v>726</v>
      </c>
      <c r="L192" s="2"/>
      <c r="M192" s="2">
        <v>210</v>
      </c>
      <c r="N192" s="2">
        <v>183</v>
      </c>
      <c r="O192" s="2" t="s">
        <v>6</v>
      </c>
      <c r="P192" s="2" t="s">
        <v>52</v>
      </c>
      <c r="Q192" s="2"/>
      <c r="R192" s="2" t="s">
        <v>53</v>
      </c>
      <c r="S192" s="2">
        <v>8210302201</v>
      </c>
      <c r="T192" s="2" t="s">
        <v>771</v>
      </c>
      <c r="U192" s="2"/>
      <c r="V192" s="2">
        <v>9602059844</v>
      </c>
      <c r="W192" s="2" t="s">
        <v>772</v>
      </c>
      <c r="X192" s="2">
        <v>63000</v>
      </c>
      <c r="Y192" s="2" t="s">
        <v>55</v>
      </c>
      <c r="Z192" s="2" t="s">
        <v>55</v>
      </c>
      <c r="AA192" s="2" t="s">
        <v>56</v>
      </c>
      <c r="AB192" s="2">
        <v>15</v>
      </c>
      <c r="AC192" s="2" t="s">
        <v>57</v>
      </c>
      <c r="AD192" s="2">
        <v>3</v>
      </c>
    </row>
    <row r="193" spans="1:30" ht="60" x14ac:dyDescent="0.25">
      <c r="A193" s="2">
        <v>7</v>
      </c>
      <c r="B193" s="2" t="s">
        <v>49</v>
      </c>
      <c r="C193" s="2">
        <v>825</v>
      </c>
      <c r="D193" s="3">
        <v>43291</v>
      </c>
      <c r="E193" s="2" t="s">
        <v>773</v>
      </c>
      <c r="F193" s="2"/>
      <c r="G193" s="2" t="s">
        <v>774</v>
      </c>
      <c r="H193" s="2" t="s">
        <v>775</v>
      </c>
      <c r="I193" s="2" t="s">
        <v>67</v>
      </c>
      <c r="J193" s="3">
        <v>40909</v>
      </c>
      <c r="K193" s="2">
        <v>727</v>
      </c>
      <c r="L193" s="2"/>
      <c r="M193" s="2">
        <v>210</v>
      </c>
      <c r="N193" s="2">
        <v>165</v>
      </c>
      <c r="O193" s="2" t="s">
        <v>5</v>
      </c>
      <c r="P193" s="2" t="s">
        <v>52</v>
      </c>
      <c r="Q193" s="2"/>
      <c r="R193" s="2" t="s">
        <v>53</v>
      </c>
      <c r="S193" s="2">
        <v>8210302201</v>
      </c>
      <c r="T193" s="2" t="s">
        <v>776</v>
      </c>
      <c r="U193" s="2"/>
      <c r="V193" s="2">
        <v>8302067950</v>
      </c>
      <c r="W193" s="2" t="s">
        <v>777</v>
      </c>
      <c r="X193" s="2">
        <v>0</v>
      </c>
      <c r="Y193" s="2" t="s">
        <v>55</v>
      </c>
      <c r="Z193" s="2" t="s">
        <v>55</v>
      </c>
      <c r="AA193" s="2" t="s">
        <v>56</v>
      </c>
      <c r="AB193" s="2">
        <v>13</v>
      </c>
      <c r="AC193" s="2" t="s">
        <v>57</v>
      </c>
      <c r="AD193" s="2">
        <v>4</v>
      </c>
    </row>
    <row r="194" spans="1:30" ht="30" x14ac:dyDescent="0.25">
      <c r="A194" s="2">
        <v>7</v>
      </c>
      <c r="B194" s="2" t="s">
        <v>49</v>
      </c>
      <c r="C194" s="2">
        <v>461</v>
      </c>
      <c r="D194" s="3">
        <v>43276</v>
      </c>
      <c r="E194" s="2" t="s">
        <v>778</v>
      </c>
      <c r="F194" s="2"/>
      <c r="G194" s="2" t="s">
        <v>693</v>
      </c>
      <c r="H194" s="2" t="s">
        <v>694</v>
      </c>
      <c r="I194" s="2" t="s">
        <v>51</v>
      </c>
      <c r="J194" s="3">
        <v>40513</v>
      </c>
      <c r="K194" s="2">
        <v>728</v>
      </c>
      <c r="L194" s="2"/>
      <c r="M194" s="2">
        <v>210</v>
      </c>
      <c r="N194" s="2">
        <v>192</v>
      </c>
      <c r="O194" s="2" t="s">
        <v>6</v>
      </c>
      <c r="P194" s="2" t="s">
        <v>52</v>
      </c>
      <c r="Q194" s="2"/>
      <c r="R194" s="2" t="s">
        <v>53</v>
      </c>
      <c r="S194" s="2">
        <v>8210302201</v>
      </c>
      <c r="T194" s="2" t="s">
        <v>779</v>
      </c>
      <c r="U194" s="2" t="s">
        <v>696</v>
      </c>
      <c r="V194" s="2">
        <v>9460361075</v>
      </c>
      <c r="W194" s="2" t="s">
        <v>472</v>
      </c>
      <c r="X194" s="2">
        <v>50000</v>
      </c>
      <c r="Y194" s="2" t="s">
        <v>55</v>
      </c>
      <c r="Z194" s="2" t="s">
        <v>55</v>
      </c>
      <c r="AA194" s="2" t="s">
        <v>56</v>
      </c>
      <c r="AB194" s="2">
        <v>15</v>
      </c>
      <c r="AC194" s="2" t="s">
        <v>57</v>
      </c>
      <c r="AD194" s="2">
        <v>0</v>
      </c>
    </row>
    <row r="195" spans="1:30" ht="45" x14ac:dyDescent="0.25">
      <c r="A195" s="2">
        <v>7</v>
      </c>
      <c r="B195" s="2" t="s">
        <v>49</v>
      </c>
      <c r="C195" s="2">
        <v>823</v>
      </c>
      <c r="D195" s="3">
        <v>43277</v>
      </c>
      <c r="E195" s="2" t="s">
        <v>780</v>
      </c>
      <c r="F195" s="2"/>
      <c r="G195" s="2" t="s">
        <v>781</v>
      </c>
      <c r="H195" s="2" t="s">
        <v>782</v>
      </c>
      <c r="I195" s="2" t="s">
        <v>51</v>
      </c>
      <c r="J195" s="3">
        <v>41376</v>
      </c>
      <c r="K195" s="2">
        <v>729</v>
      </c>
      <c r="L195" s="2"/>
      <c r="M195" s="2">
        <v>210</v>
      </c>
      <c r="N195" s="2">
        <v>177</v>
      </c>
      <c r="O195" s="2" t="s">
        <v>5</v>
      </c>
      <c r="P195" s="2" t="s">
        <v>52</v>
      </c>
      <c r="Q195" s="2"/>
      <c r="R195" s="2" t="s">
        <v>53</v>
      </c>
      <c r="S195" s="2">
        <v>8210302201</v>
      </c>
      <c r="T195" s="2" t="s">
        <v>783</v>
      </c>
      <c r="U195" s="2"/>
      <c r="V195" s="2">
        <v>9660617490</v>
      </c>
      <c r="W195" s="2" t="s">
        <v>784</v>
      </c>
      <c r="X195" s="2">
        <v>0</v>
      </c>
      <c r="Y195" s="2" t="s">
        <v>55</v>
      </c>
      <c r="Z195" s="2" t="s">
        <v>55</v>
      </c>
      <c r="AA195" s="2" t="s">
        <v>56</v>
      </c>
      <c r="AB195" s="2">
        <v>12</v>
      </c>
      <c r="AC195" s="2" t="s">
        <v>57</v>
      </c>
      <c r="AD195" s="2">
        <v>4</v>
      </c>
    </row>
    <row r="196" spans="1:30" ht="30" x14ac:dyDescent="0.25">
      <c r="A196" s="2">
        <v>7</v>
      </c>
      <c r="B196" s="2" t="s">
        <v>49</v>
      </c>
      <c r="C196" s="2">
        <v>455</v>
      </c>
      <c r="D196" s="3">
        <v>43271</v>
      </c>
      <c r="E196" s="2" t="s">
        <v>785</v>
      </c>
      <c r="F196" s="2"/>
      <c r="G196" s="2" t="s">
        <v>786</v>
      </c>
      <c r="H196" s="2" t="s">
        <v>787</v>
      </c>
      <c r="I196" s="2" t="s">
        <v>51</v>
      </c>
      <c r="J196" s="3">
        <v>41201</v>
      </c>
      <c r="K196" s="2">
        <v>731</v>
      </c>
      <c r="L196" s="2"/>
      <c r="M196" s="2">
        <v>210</v>
      </c>
      <c r="N196" s="2">
        <v>168</v>
      </c>
      <c r="O196" s="2" t="s">
        <v>6</v>
      </c>
      <c r="P196" s="2" t="s">
        <v>52</v>
      </c>
      <c r="Q196" s="2"/>
      <c r="R196" s="2" t="s">
        <v>53</v>
      </c>
      <c r="S196" s="2">
        <v>8210302201</v>
      </c>
      <c r="T196" s="2" t="s">
        <v>788</v>
      </c>
      <c r="U196" s="2" t="s">
        <v>789</v>
      </c>
      <c r="V196" s="2">
        <v>7023475941</v>
      </c>
      <c r="W196" s="2" t="s">
        <v>472</v>
      </c>
      <c r="X196" s="2">
        <v>65000</v>
      </c>
      <c r="Y196" s="2" t="s">
        <v>55</v>
      </c>
      <c r="Z196" s="2" t="s">
        <v>55</v>
      </c>
      <c r="AA196" s="2" t="s">
        <v>56</v>
      </c>
      <c r="AB196" s="2">
        <v>13</v>
      </c>
      <c r="AC196" s="2" t="s">
        <v>57</v>
      </c>
      <c r="AD196" s="2">
        <v>0</v>
      </c>
    </row>
    <row r="197" spans="1:30" ht="45" x14ac:dyDescent="0.25">
      <c r="A197" s="2">
        <v>7</v>
      </c>
      <c r="B197" s="2" t="s">
        <v>49</v>
      </c>
      <c r="C197" s="2">
        <v>836</v>
      </c>
      <c r="D197" s="3">
        <v>43288</v>
      </c>
      <c r="E197" s="2" t="s">
        <v>785</v>
      </c>
      <c r="F197" s="2" t="s">
        <v>790</v>
      </c>
      <c r="G197" s="2" t="s">
        <v>791</v>
      </c>
      <c r="H197" s="2" t="s">
        <v>792</v>
      </c>
      <c r="I197" s="2" t="s">
        <v>51</v>
      </c>
      <c r="J197" s="3">
        <v>41605</v>
      </c>
      <c r="K197" s="2">
        <v>730</v>
      </c>
      <c r="L197" s="2"/>
      <c r="M197" s="2">
        <v>210</v>
      </c>
      <c r="N197" s="2">
        <v>195</v>
      </c>
      <c r="O197" s="2" t="s">
        <v>6</v>
      </c>
      <c r="P197" s="2" t="s">
        <v>52</v>
      </c>
      <c r="Q197" s="2"/>
      <c r="R197" s="2" t="s">
        <v>53</v>
      </c>
      <c r="S197" s="2">
        <v>8210302201</v>
      </c>
      <c r="T197" s="2" t="s">
        <v>793</v>
      </c>
      <c r="U197" s="2"/>
      <c r="V197" s="2">
        <v>9660981331</v>
      </c>
      <c r="W197" s="2" t="s">
        <v>794</v>
      </c>
      <c r="X197" s="2">
        <v>36000</v>
      </c>
      <c r="Y197" s="2" t="s">
        <v>55</v>
      </c>
      <c r="Z197" s="2" t="s">
        <v>55</v>
      </c>
      <c r="AA197" s="2" t="s">
        <v>56</v>
      </c>
      <c r="AB197" s="2">
        <v>12</v>
      </c>
      <c r="AC197" s="2" t="s">
        <v>57</v>
      </c>
      <c r="AD197" s="2">
        <v>3</v>
      </c>
    </row>
    <row r="198" spans="1:30" ht="30" x14ac:dyDescent="0.25">
      <c r="A198" s="2">
        <v>7</v>
      </c>
      <c r="B198" s="2" t="s">
        <v>49</v>
      </c>
      <c r="C198" s="2">
        <v>447</v>
      </c>
      <c r="D198" s="3">
        <v>42945</v>
      </c>
      <c r="E198" s="2" t="s">
        <v>795</v>
      </c>
      <c r="F198" s="2"/>
      <c r="G198" s="2" t="s">
        <v>650</v>
      </c>
      <c r="H198" s="2" t="s">
        <v>470</v>
      </c>
      <c r="I198" s="2" t="s">
        <v>51</v>
      </c>
      <c r="J198" s="3">
        <v>40738</v>
      </c>
      <c r="K198" s="2">
        <v>732</v>
      </c>
      <c r="L198" s="2"/>
      <c r="M198" s="2">
        <v>210</v>
      </c>
      <c r="N198" s="2">
        <v>172</v>
      </c>
      <c r="O198" s="2" t="s">
        <v>6</v>
      </c>
      <c r="P198" s="2" t="s">
        <v>52</v>
      </c>
      <c r="Q198" s="2"/>
      <c r="R198" s="2" t="s">
        <v>53</v>
      </c>
      <c r="S198" s="2">
        <v>8210302201</v>
      </c>
      <c r="T198" s="2" t="s">
        <v>315</v>
      </c>
      <c r="U198" s="2"/>
      <c r="V198" s="2">
        <v>9799809319</v>
      </c>
      <c r="W198" s="2" t="s">
        <v>796</v>
      </c>
      <c r="X198" s="2">
        <v>60000</v>
      </c>
      <c r="Y198" s="2" t="s">
        <v>55</v>
      </c>
      <c r="Z198" s="2" t="s">
        <v>55</v>
      </c>
      <c r="AA198" s="2" t="s">
        <v>56</v>
      </c>
      <c r="AB198" s="2">
        <v>14</v>
      </c>
      <c r="AC198" s="2" t="s">
        <v>57</v>
      </c>
      <c r="AD198" s="2">
        <v>0</v>
      </c>
    </row>
    <row r="199" spans="1:30" ht="45" x14ac:dyDescent="0.25">
      <c r="A199" s="2">
        <v>7</v>
      </c>
      <c r="B199" s="2" t="s">
        <v>49</v>
      </c>
      <c r="C199" s="2">
        <v>860</v>
      </c>
      <c r="D199" s="3">
        <v>43283</v>
      </c>
      <c r="E199" s="2" t="s">
        <v>797</v>
      </c>
      <c r="F199" s="2"/>
      <c r="G199" s="2" t="s">
        <v>798</v>
      </c>
      <c r="H199" s="2" t="s">
        <v>799</v>
      </c>
      <c r="I199" s="2" t="s">
        <v>67</v>
      </c>
      <c r="J199" s="3">
        <v>41541</v>
      </c>
      <c r="K199" s="2">
        <v>733</v>
      </c>
      <c r="L199" s="2"/>
      <c r="M199" s="2">
        <v>210</v>
      </c>
      <c r="N199" s="2">
        <v>196</v>
      </c>
      <c r="O199" s="2" t="s">
        <v>6</v>
      </c>
      <c r="P199" s="2" t="s">
        <v>52</v>
      </c>
      <c r="Q199" s="2"/>
      <c r="R199" s="2" t="s">
        <v>53</v>
      </c>
      <c r="S199" s="2">
        <v>8210302201</v>
      </c>
      <c r="T199" s="2" t="s">
        <v>800</v>
      </c>
      <c r="U199" s="2"/>
      <c r="V199" s="2">
        <v>9784480390</v>
      </c>
      <c r="W199" s="2" t="s">
        <v>701</v>
      </c>
      <c r="X199" s="2">
        <v>36000</v>
      </c>
      <c r="Y199" s="2" t="s">
        <v>55</v>
      </c>
      <c r="Z199" s="2" t="s">
        <v>55</v>
      </c>
      <c r="AA199" s="2" t="s">
        <v>56</v>
      </c>
      <c r="AB199" s="2">
        <v>12</v>
      </c>
      <c r="AC199" s="2" t="s">
        <v>57</v>
      </c>
      <c r="AD199" s="2">
        <v>3</v>
      </c>
    </row>
    <row r="200" spans="1:30" ht="30" x14ac:dyDescent="0.25">
      <c r="A200" s="2">
        <v>7</v>
      </c>
      <c r="B200" s="2" t="s">
        <v>49</v>
      </c>
      <c r="C200" s="2">
        <v>871</v>
      </c>
      <c r="D200" s="3">
        <v>43273</v>
      </c>
      <c r="E200" s="2" t="s">
        <v>801</v>
      </c>
      <c r="F200" s="2"/>
      <c r="G200" s="2" t="s">
        <v>802</v>
      </c>
      <c r="H200" s="2" t="s">
        <v>803</v>
      </c>
      <c r="I200" s="2" t="s">
        <v>67</v>
      </c>
      <c r="J200" s="3">
        <v>41304</v>
      </c>
      <c r="K200" s="2">
        <v>734</v>
      </c>
      <c r="L200" s="2"/>
      <c r="M200" s="2">
        <v>210</v>
      </c>
      <c r="N200" s="2">
        <v>150</v>
      </c>
      <c r="O200" s="2" t="s">
        <v>6</v>
      </c>
      <c r="P200" s="2" t="s">
        <v>52</v>
      </c>
      <c r="Q200" s="2"/>
      <c r="R200" s="2" t="s">
        <v>53</v>
      </c>
      <c r="S200" s="2">
        <v>8210302201</v>
      </c>
      <c r="T200" s="2"/>
      <c r="U200" s="2"/>
      <c r="V200" s="2">
        <v>9680663333</v>
      </c>
      <c r="W200" s="2" t="s">
        <v>804</v>
      </c>
      <c r="X200" s="2">
        <v>0</v>
      </c>
      <c r="Y200" s="2" t="s">
        <v>55</v>
      </c>
      <c r="Z200" s="2" t="s">
        <v>55</v>
      </c>
      <c r="AA200" s="2" t="s">
        <v>56</v>
      </c>
      <c r="AB200" s="2">
        <v>12</v>
      </c>
      <c r="AC200" s="2" t="s">
        <v>57</v>
      </c>
      <c r="AD200" s="2">
        <v>3</v>
      </c>
    </row>
    <row r="201" spans="1:30" ht="30" x14ac:dyDescent="0.25">
      <c r="A201" s="2">
        <v>8</v>
      </c>
      <c r="B201" s="2" t="s">
        <v>49</v>
      </c>
      <c r="C201" s="2">
        <v>797</v>
      </c>
      <c r="D201" s="3">
        <v>44769</v>
      </c>
      <c r="E201" s="2" t="s">
        <v>672</v>
      </c>
      <c r="F201" s="2"/>
      <c r="G201" s="2" t="s">
        <v>805</v>
      </c>
      <c r="H201" s="2" t="s">
        <v>806</v>
      </c>
      <c r="I201" s="2" t="s">
        <v>67</v>
      </c>
      <c r="J201" s="3">
        <v>40281</v>
      </c>
      <c r="K201" s="2">
        <v>801</v>
      </c>
      <c r="L201" s="2"/>
      <c r="M201" s="2">
        <v>180</v>
      </c>
      <c r="N201" s="2">
        <v>152</v>
      </c>
      <c r="O201" s="2" t="s">
        <v>6</v>
      </c>
      <c r="P201" s="2" t="s">
        <v>52</v>
      </c>
      <c r="Q201" s="2"/>
      <c r="R201" s="2" t="s">
        <v>53</v>
      </c>
      <c r="S201" s="2">
        <v>8210302201</v>
      </c>
      <c r="T201" s="2" t="s">
        <v>807</v>
      </c>
      <c r="U201" s="2"/>
      <c r="V201" s="2">
        <v>7357930925</v>
      </c>
      <c r="W201" s="2" t="s">
        <v>383</v>
      </c>
      <c r="X201" s="2">
        <v>60000</v>
      </c>
      <c r="Y201" s="2" t="s">
        <v>55</v>
      </c>
      <c r="Z201" s="2" t="s">
        <v>55</v>
      </c>
      <c r="AA201" s="2" t="s">
        <v>56</v>
      </c>
      <c r="AB201" s="2">
        <v>15</v>
      </c>
      <c r="AC201" s="2" t="s">
        <v>57</v>
      </c>
      <c r="AD201" s="2">
        <v>3</v>
      </c>
    </row>
    <row r="202" spans="1:30" ht="30" x14ac:dyDescent="0.25">
      <c r="A202" s="2">
        <v>8</v>
      </c>
      <c r="B202" s="2" t="s">
        <v>49</v>
      </c>
      <c r="C202" s="2">
        <v>916</v>
      </c>
      <c r="D202" s="3">
        <v>45518</v>
      </c>
      <c r="E202" s="2" t="s">
        <v>808</v>
      </c>
      <c r="F202" s="2"/>
      <c r="G202" s="2" t="s">
        <v>809</v>
      </c>
      <c r="H202" s="2" t="s">
        <v>810</v>
      </c>
      <c r="I202" s="2" t="s">
        <v>67</v>
      </c>
      <c r="J202" s="3">
        <v>40770</v>
      </c>
      <c r="K202" s="2">
        <v>802</v>
      </c>
      <c r="L202" s="2"/>
      <c r="M202" s="2">
        <v>180</v>
      </c>
      <c r="N202" s="2">
        <v>121</v>
      </c>
      <c r="O202" s="2" t="s">
        <v>5</v>
      </c>
      <c r="P202" s="2"/>
      <c r="Q202" s="2"/>
      <c r="R202" s="2" t="s">
        <v>53</v>
      </c>
      <c r="S202" s="2">
        <v>8210302201</v>
      </c>
      <c r="T202" s="2"/>
      <c r="U202" s="2"/>
      <c r="V202" s="2">
        <v>9680436570</v>
      </c>
      <c r="W202" s="2"/>
      <c r="X202" s="2"/>
      <c r="Y202" s="2" t="s">
        <v>55</v>
      </c>
      <c r="Z202" s="2" t="s">
        <v>190</v>
      </c>
      <c r="AA202" s="2"/>
      <c r="AB202" s="2">
        <v>14</v>
      </c>
      <c r="AC202" s="2"/>
      <c r="AD202" s="2">
        <v>4</v>
      </c>
    </row>
    <row r="203" spans="1:30" ht="30" x14ac:dyDescent="0.25">
      <c r="A203" s="2">
        <v>8</v>
      </c>
      <c r="B203" s="2" t="s">
        <v>49</v>
      </c>
      <c r="C203" s="2">
        <v>401</v>
      </c>
      <c r="D203" s="3">
        <v>42920</v>
      </c>
      <c r="E203" s="2" t="s">
        <v>811</v>
      </c>
      <c r="F203" s="2"/>
      <c r="G203" s="2" t="s">
        <v>812</v>
      </c>
      <c r="H203" s="2" t="s">
        <v>813</v>
      </c>
      <c r="I203" s="2" t="s">
        <v>51</v>
      </c>
      <c r="J203" s="3">
        <v>40714</v>
      </c>
      <c r="K203" s="2">
        <v>803</v>
      </c>
      <c r="L203" s="2"/>
      <c r="M203" s="2">
        <v>180</v>
      </c>
      <c r="N203" s="2">
        <v>165</v>
      </c>
      <c r="O203" s="2" t="s">
        <v>6</v>
      </c>
      <c r="P203" s="2" t="s">
        <v>52</v>
      </c>
      <c r="Q203" s="2"/>
      <c r="R203" s="2" t="s">
        <v>53</v>
      </c>
      <c r="S203" s="2">
        <v>8210302201</v>
      </c>
      <c r="T203" s="2" t="s">
        <v>814</v>
      </c>
      <c r="U203" s="2"/>
      <c r="V203" s="2">
        <v>9799271567</v>
      </c>
      <c r="W203" s="2" t="s">
        <v>815</v>
      </c>
      <c r="X203" s="2">
        <v>30000</v>
      </c>
      <c r="Y203" s="2" t="s">
        <v>55</v>
      </c>
      <c r="Z203" s="2" t="s">
        <v>55</v>
      </c>
      <c r="AA203" s="2" t="s">
        <v>56</v>
      </c>
      <c r="AB203" s="2">
        <v>14</v>
      </c>
      <c r="AC203" s="2" t="s">
        <v>57</v>
      </c>
      <c r="AD203" s="2">
        <v>0</v>
      </c>
    </row>
    <row r="204" spans="1:30" ht="30" x14ac:dyDescent="0.25">
      <c r="A204" s="2">
        <v>8</v>
      </c>
      <c r="B204" s="2" t="s">
        <v>49</v>
      </c>
      <c r="C204" s="2">
        <v>497</v>
      </c>
      <c r="D204" s="3">
        <v>43292</v>
      </c>
      <c r="E204" s="2" t="s">
        <v>816</v>
      </c>
      <c r="F204" s="2"/>
      <c r="G204" s="2" t="s">
        <v>817</v>
      </c>
      <c r="H204" s="2" t="s">
        <v>508</v>
      </c>
      <c r="I204" s="2" t="s">
        <v>67</v>
      </c>
      <c r="J204" s="3">
        <v>39814</v>
      </c>
      <c r="K204" s="2">
        <v>804</v>
      </c>
      <c r="L204" s="2"/>
      <c r="M204" s="2">
        <v>180</v>
      </c>
      <c r="N204" s="2">
        <v>162</v>
      </c>
      <c r="O204" s="2" t="s">
        <v>6</v>
      </c>
      <c r="P204" s="2" t="s">
        <v>52</v>
      </c>
      <c r="Q204" s="2"/>
      <c r="R204" s="2" t="s">
        <v>53</v>
      </c>
      <c r="S204" s="2">
        <v>8210302201</v>
      </c>
      <c r="T204" s="2" t="s">
        <v>818</v>
      </c>
      <c r="U204" s="2" t="s">
        <v>819</v>
      </c>
      <c r="V204" s="2">
        <v>8003803880</v>
      </c>
      <c r="W204" s="2" t="s">
        <v>472</v>
      </c>
      <c r="X204" s="2">
        <v>60000</v>
      </c>
      <c r="Y204" s="2" t="s">
        <v>55</v>
      </c>
      <c r="Z204" s="2" t="s">
        <v>55</v>
      </c>
      <c r="AA204" s="2" t="s">
        <v>56</v>
      </c>
      <c r="AB204" s="2">
        <v>16</v>
      </c>
      <c r="AC204" s="2" t="s">
        <v>57</v>
      </c>
      <c r="AD204" s="2">
        <v>1</v>
      </c>
    </row>
    <row r="205" spans="1:30" ht="30" x14ac:dyDescent="0.25">
      <c r="A205" s="2">
        <v>8</v>
      </c>
      <c r="B205" s="2" t="s">
        <v>49</v>
      </c>
      <c r="C205" s="2">
        <v>864</v>
      </c>
      <c r="D205" s="3">
        <v>45148</v>
      </c>
      <c r="E205" s="2" t="s">
        <v>820</v>
      </c>
      <c r="F205" s="2"/>
      <c r="G205" s="2" t="s">
        <v>821</v>
      </c>
      <c r="H205" s="2" t="s">
        <v>192</v>
      </c>
      <c r="I205" s="2" t="s">
        <v>67</v>
      </c>
      <c r="J205" s="3">
        <v>40459</v>
      </c>
      <c r="K205" s="2">
        <v>805</v>
      </c>
      <c r="L205" s="2"/>
      <c r="M205" s="2">
        <v>180</v>
      </c>
      <c r="N205" s="2">
        <v>134</v>
      </c>
      <c r="O205" s="2" t="s">
        <v>6</v>
      </c>
      <c r="P205" s="2" t="s">
        <v>52</v>
      </c>
      <c r="Q205" s="2"/>
      <c r="R205" s="2" t="s">
        <v>53</v>
      </c>
      <c r="S205" s="2">
        <v>8210302201</v>
      </c>
      <c r="T205" s="2" t="s">
        <v>822</v>
      </c>
      <c r="U205" s="2"/>
      <c r="V205" s="2">
        <v>9999999999</v>
      </c>
      <c r="W205" s="2" t="s">
        <v>472</v>
      </c>
      <c r="X205" s="2">
        <v>60000</v>
      </c>
      <c r="Y205" s="2" t="s">
        <v>55</v>
      </c>
      <c r="Z205" s="2" t="s">
        <v>55</v>
      </c>
      <c r="AA205" s="2" t="s">
        <v>56</v>
      </c>
      <c r="AB205" s="2">
        <v>15</v>
      </c>
      <c r="AC205" s="2" t="s">
        <v>57</v>
      </c>
      <c r="AD205" s="2">
        <v>0</v>
      </c>
    </row>
    <row r="206" spans="1:30" ht="30" x14ac:dyDescent="0.25">
      <c r="A206" s="2">
        <v>8</v>
      </c>
      <c r="B206" s="2" t="s">
        <v>49</v>
      </c>
      <c r="C206" s="2">
        <v>751</v>
      </c>
      <c r="D206" s="3">
        <v>44534</v>
      </c>
      <c r="E206" s="2" t="s">
        <v>823</v>
      </c>
      <c r="F206" s="2"/>
      <c r="G206" s="2" t="s">
        <v>689</v>
      </c>
      <c r="H206" s="2" t="s">
        <v>824</v>
      </c>
      <c r="I206" s="2" t="s">
        <v>51</v>
      </c>
      <c r="J206" s="3">
        <v>40255</v>
      </c>
      <c r="K206" s="2">
        <v>806</v>
      </c>
      <c r="L206" s="2"/>
      <c r="M206" s="2">
        <v>180</v>
      </c>
      <c r="N206" s="2">
        <v>160</v>
      </c>
      <c r="O206" s="2" t="s">
        <v>6</v>
      </c>
      <c r="P206" s="2" t="s">
        <v>52</v>
      </c>
      <c r="Q206" s="2"/>
      <c r="R206" s="2" t="s">
        <v>53</v>
      </c>
      <c r="S206" s="2">
        <v>8210302201</v>
      </c>
      <c r="T206" s="2" t="s">
        <v>825</v>
      </c>
      <c r="U206" s="2"/>
      <c r="V206" s="2">
        <v>9571721980</v>
      </c>
      <c r="W206" s="2" t="s">
        <v>815</v>
      </c>
      <c r="X206" s="2">
        <v>60000</v>
      </c>
      <c r="Y206" s="2" t="s">
        <v>55</v>
      </c>
      <c r="Z206" s="2" t="s">
        <v>55</v>
      </c>
      <c r="AA206" s="2" t="s">
        <v>56</v>
      </c>
      <c r="AB206" s="2">
        <v>15</v>
      </c>
      <c r="AC206" s="2" t="s">
        <v>57</v>
      </c>
      <c r="AD206" s="2">
        <v>0</v>
      </c>
    </row>
    <row r="207" spans="1:30" ht="30" x14ac:dyDescent="0.25">
      <c r="A207" s="2">
        <v>8</v>
      </c>
      <c r="B207" s="2" t="s">
        <v>49</v>
      </c>
      <c r="C207" s="2">
        <v>795</v>
      </c>
      <c r="D207" s="3">
        <v>44769</v>
      </c>
      <c r="E207" s="2" t="s">
        <v>826</v>
      </c>
      <c r="F207" s="2"/>
      <c r="G207" s="2" t="s">
        <v>827</v>
      </c>
      <c r="H207" s="2" t="s">
        <v>828</v>
      </c>
      <c r="I207" s="2" t="s">
        <v>51</v>
      </c>
      <c r="J207" s="3">
        <v>40425</v>
      </c>
      <c r="K207" s="2">
        <v>807</v>
      </c>
      <c r="L207" s="2"/>
      <c r="M207" s="2">
        <v>180</v>
      </c>
      <c r="N207" s="2">
        <v>157</v>
      </c>
      <c r="O207" s="2" t="s">
        <v>6</v>
      </c>
      <c r="P207" s="2" t="s">
        <v>52</v>
      </c>
      <c r="Q207" s="2"/>
      <c r="R207" s="2" t="s">
        <v>53</v>
      </c>
      <c r="S207" s="2">
        <v>8210302201</v>
      </c>
      <c r="T207" s="2" t="s">
        <v>829</v>
      </c>
      <c r="U207" s="2"/>
      <c r="V207" s="2">
        <v>8529542482</v>
      </c>
      <c r="W207" s="2" t="s">
        <v>830</v>
      </c>
      <c r="X207" s="2">
        <v>80000</v>
      </c>
      <c r="Y207" s="2" t="s">
        <v>55</v>
      </c>
      <c r="Z207" s="2" t="s">
        <v>55</v>
      </c>
      <c r="AA207" s="2" t="s">
        <v>56</v>
      </c>
      <c r="AB207" s="2">
        <v>15</v>
      </c>
      <c r="AC207" s="2" t="s">
        <v>57</v>
      </c>
      <c r="AD207" s="2">
        <v>0</v>
      </c>
    </row>
    <row r="208" spans="1:30" ht="30" x14ac:dyDescent="0.25">
      <c r="A208" s="2">
        <v>8</v>
      </c>
      <c r="B208" s="2" t="s">
        <v>49</v>
      </c>
      <c r="C208" s="2">
        <v>892</v>
      </c>
      <c r="D208" s="3">
        <v>45488</v>
      </c>
      <c r="E208" s="2" t="s">
        <v>831</v>
      </c>
      <c r="F208" s="2"/>
      <c r="G208" s="2" t="s">
        <v>832</v>
      </c>
      <c r="H208" s="2" t="s">
        <v>592</v>
      </c>
      <c r="I208" s="2" t="s">
        <v>51</v>
      </c>
      <c r="J208" s="3">
        <v>41120</v>
      </c>
      <c r="K208" s="2">
        <v>808</v>
      </c>
      <c r="L208" s="2"/>
      <c r="M208" s="2">
        <v>180</v>
      </c>
      <c r="N208" s="2">
        <v>149</v>
      </c>
      <c r="O208" s="2" t="s">
        <v>4</v>
      </c>
      <c r="P208" s="2" t="s">
        <v>52</v>
      </c>
      <c r="Q208" s="2"/>
      <c r="R208" s="2" t="s">
        <v>53</v>
      </c>
      <c r="S208" s="2">
        <v>8210302201</v>
      </c>
      <c r="T208" s="2" t="s">
        <v>617</v>
      </c>
      <c r="U208" s="2"/>
      <c r="V208" s="2">
        <v>9680247925</v>
      </c>
      <c r="W208" s="2" t="s">
        <v>833</v>
      </c>
      <c r="X208" s="2">
        <v>78000</v>
      </c>
      <c r="Y208" s="2" t="s">
        <v>55</v>
      </c>
      <c r="Z208" s="2" t="s">
        <v>55</v>
      </c>
      <c r="AA208" s="2" t="s">
        <v>56</v>
      </c>
      <c r="AB208" s="2">
        <v>13</v>
      </c>
      <c r="AC208" s="2" t="s">
        <v>57</v>
      </c>
      <c r="AD208" s="2">
        <v>4</v>
      </c>
    </row>
    <row r="209" spans="1:30" ht="45" x14ac:dyDescent="0.25">
      <c r="A209" s="2">
        <v>8</v>
      </c>
      <c r="B209" s="2" t="s">
        <v>49</v>
      </c>
      <c r="C209" s="2">
        <v>778</v>
      </c>
      <c r="D209" s="3">
        <v>42931</v>
      </c>
      <c r="E209" s="2" t="s">
        <v>834</v>
      </c>
      <c r="F209" s="2"/>
      <c r="G209" s="2" t="s">
        <v>774</v>
      </c>
      <c r="H209" s="2" t="s">
        <v>775</v>
      </c>
      <c r="I209" s="2" t="s">
        <v>51</v>
      </c>
      <c r="J209" s="3">
        <v>41044</v>
      </c>
      <c r="K209" s="2">
        <v>809</v>
      </c>
      <c r="L209" s="2"/>
      <c r="M209" s="2">
        <v>180</v>
      </c>
      <c r="N209" s="2">
        <v>147</v>
      </c>
      <c r="O209" s="2" t="s">
        <v>5</v>
      </c>
      <c r="P209" s="2" t="s">
        <v>52</v>
      </c>
      <c r="Q209" s="2"/>
      <c r="R209" s="2" t="s">
        <v>53</v>
      </c>
      <c r="S209" s="2">
        <v>8210302201</v>
      </c>
      <c r="T209" s="2" t="s">
        <v>835</v>
      </c>
      <c r="U209" s="2"/>
      <c r="V209" s="2">
        <v>7737753295</v>
      </c>
      <c r="W209" s="2" t="s">
        <v>836</v>
      </c>
      <c r="X209" s="2">
        <v>0</v>
      </c>
      <c r="Y209" s="2" t="s">
        <v>55</v>
      </c>
      <c r="Z209" s="2" t="s">
        <v>55</v>
      </c>
      <c r="AA209" s="2" t="s">
        <v>56</v>
      </c>
      <c r="AB209" s="2">
        <v>13</v>
      </c>
      <c r="AC209" s="2" t="s">
        <v>57</v>
      </c>
      <c r="AD209" s="2">
        <v>4</v>
      </c>
    </row>
    <row r="210" spans="1:30" ht="30" x14ac:dyDescent="0.25">
      <c r="A210" s="2">
        <v>8</v>
      </c>
      <c r="B210" s="2" t="s">
        <v>49</v>
      </c>
      <c r="C210" s="2">
        <v>403</v>
      </c>
      <c r="D210" s="3">
        <v>42920</v>
      </c>
      <c r="E210" s="2" t="s">
        <v>837</v>
      </c>
      <c r="F210" s="2"/>
      <c r="G210" s="2" t="s">
        <v>838</v>
      </c>
      <c r="H210" s="2" t="s">
        <v>839</v>
      </c>
      <c r="I210" s="2" t="s">
        <v>67</v>
      </c>
      <c r="J210" s="3">
        <v>40704</v>
      </c>
      <c r="K210" s="2">
        <v>810</v>
      </c>
      <c r="L210" s="2"/>
      <c r="M210" s="2">
        <v>180</v>
      </c>
      <c r="N210" s="2">
        <v>169</v>
      </c>
      <c r="O210" s="2" t="s">
        <v>6</v>
      </c>
      <c r="P210" s="2" t="s">
        <v>52</v>
      </c>
      <c r="Q210" s="2"/>
      <c r="R210" s="2" t="s">
        <v>53</v>
      </c>
      <c r="S210" s="2">
        <v>8210302201</v>
      </c>
      <c r="T210" s="2" t="s">
        <v>840</v>
      </c>
      <c r="U210" s="2" t="s">
        <v>841</v>
      </c>
      <c r="V210" s="2">
        <v>9784061877</v>
      </c>
      <c r="W210" s="2" t="s">
        <v>842</v>
      </c>
      <c r="X210" s="2">
        <v>40000</v>
      </c>
      <c r="Y210" s="2" t="s">
        <v>55</v>
      </c>
      <c r="Z210" s="2" t="s">
        <v>55</v>
      </c>
      <c r="AA210" s="2" t="s">
        <v>56</v>
      </c>
      <c r="AB210" s="2">
        <v>14</v>
      </c>
      <c r="AC210" s="2" t="s">
        <v>57</v>
      </c>
      <c r="AD210" s="2">
        <v>0</v>
      </c>
    </row>
    <row r="211" spans="1:30" ht="30" x14ac:dyDescent="0.25">
      <c r="A211" s="2">
        <v>8</v>
      </c>
      <c r="B211" s="2" t="s">
        <v>49</v>
      </c>
      <c r="C211" s="2">
        <v>850</v>
      </c>
      <c r="D211" s="3">
        <v>45126</v>
      </c>
      <c r="E211" s="2" t="s">
        <v>843</v>
      </c>
      <c r="F211" s="2"/>
      <c r="G211" s="2" t="s">
        <v>450</v>
      </c>
      <c r="H211" s="2" t="s">
        <v>451</v>
      </c>
      <c r="I211" s="2" t="s">
        <v>51</v>
      </c>
      <c r="J211" s="3">
        <v>40364</v>
      </c>
      <c r="K211" s="2">
        <v>811</v>
      </c>
      <c r="L211" s="2"/>
      <c r="M211" s="2">
        <v>180</v>
      </c>
      <c r="N211" s="2">
        <v>154</v>
      </c>
      <c r="O211" s="2" t="s">
        <v>6</v>
      </c>
      <c r="P211" s="2" t="s">
        <v>52</v>
      </c>
      <c r="Q211" s="2"/>
      <c r="R211" s="2" t="s">
        <v>53</v>
      </c>
      <c r="S211" s="2">
        <v>8210302201</v>
      </c>
      <c r="T211" s="2" t="s">
        <v>844</v>
      </c>
      <c r="U211" s="2" t="s">
        <v>845</v>
      </c>
      <c r="V211" s="2">
        <v>7426931335</v>
      </c>
      <c r="W211" s="2" t="s">
        <v>472</v>
      </c>
      <c r="X211" s="2">
        <v>40000</v>
      </c>
      <c r="Y211" s="2" t="s">
        <v>55</v>
      </c>
      <c r="Z211" s="2" t="s">
        <v>55</v>
      </c>
      <c r="AA211" s="2" t="s">
        <v>56</v>
      </c>
      <c r="AB211" s="2">
        <v>15</v>
      </c>
      <c r="AC211" s="2" t="s">
        <v>57</v>
      </c>
      <c r="AD211" s="2">
        <v>0</v>
      </c>
    </row>
    <row r="212" spans="1:30" ht="60" x14ac:dyDescent="0.25">
      <c r="A212" s="2">
        <v>8</v>
      </c>
      <c r="B212" s="2" t="s">
        <v>49</v>
      </c>
      <c r="C212" s="2">
        <v>775</v>
      </c>
      <c r="D212" s="3">
        <v>42931</v>
      </c>
      <c r="E212" s="2" t="s">
        <v>846</v>
      </c>
      <c r="F212" s="2"/>
      <c r="G212" s="2" t="s">
        <v>847</v>
      </c>
      <c r="H212" s="2" t="s">
        <v>493</v>
      </c>
      <c r="I212" s="2" t="s">
        <v>51</v>
      </c>
      <c r="J212" s="3">
        <v>40988</v>
      </c>
      <c r="K212" s="2">
        <v>812</v>
      </c>
      <c r="L212" s="2"/>
      <c r="M212" s="2">
        <v>180</v>
      </c>
      <c r="N212" s="2">
        <v>152</v>
      </c>
      <c r="O212" s="2" t="s">
        <v>5</v>
      </c>
      <c r="P212" s="2" t="s">
        <v>52</v>
      </c>
      <c r="Q212" s="2"/>
      <c r="R212" s="2" t="s">
        <v>53</v>
      </c>
      <c r="S212" s="2">
        <v>8210302201</v>
      </c>
      <c r="T212" s="2" t="s">
        <v>848</v>
      </c>
      <c r="U212" s="2"/>
      <c r="V212" s="2">
        <v>8302060752</v>
      </c>
      <c r="W212" s="2" t="s">
        <v>849</v>
      </c>
      <c r="X212" s="2">
        <v>0</v>
      </c>
      <c r="Y212" s="2" t="s">
        <v>55</v>
      </c>
      <c r="Z212" s="2" t="s">
        <v>55</v>
      </c>
      <c r="AA212" s="2" t="s">
        <v>56</v>
      </c>
      <c r="AB212" s="2">
        <v>13</v>
      </c>
      <c r="AC212" s="2" t="s">
        <v>57</v>
      </c>
      <c r="AD212" s="2">
        <v>4</v>
      </c>
    </row>
    <row r="213" spans="1:30" ht="45" x14ac:dyDescent="0.25">
      <c r="A213" s="2">
        <v>8</v>
      </c>
      <c r="B213" s="2" t="s">
        <v>49</v>
      </c>
      <c r="C213" s="2">
        <v>790</v>
      </c>
      <c r="D213" s="3">
        <v>44764</v>
      </c>
      <c r="E213" s="2" t="s">
        <v>850</v>
      </c>
      <c r="F213" s="2"/>
      <c r="G213" s="2" t="s">
        <v>851</v>
      </c>
      <c r="H213" s="2" t="s">
        <v>852</v>
      </c>
      <c r="I213" s="2" t="s">
        <v>51</v>
      </c>
      <c r="J213" s="3">
        <v>40796</v>
      </c>
      <c r="K213" s="2">
        <v>813</v>
      </c>
      <c r="L213" s="2"/>
      <c r="M213" s="2">
        <v>180</v>
      </c>
      <c r="N213" s="2">
        <v>156</v>
      </c>
      <c r="O213" s="2" t="s">
        <v>6</v>
      </c>
      <c r="P213" s="2" t="s">
        <v>52</v>
      </c>
      <c r="Q213" s="2"/>
      <c r="R213" s="2" t="s">
        <v>53</v>
      </c>
      <c r="S213" s="2">
        <v>8210302201</v>
      </c>
      <c r="T213" s="2" t="s">
        <v>853</v>
      </c>
      <c r="U213" s="2"/>
      <c r="V213" s="2">
        <v>9888888888</v>
      </c>
      <c r="W213" s="2" t="s">
        <v>854</v>
      </c>
      <c r="X213" s="2">
        <v>50000</v>
      </c>
      <c r="Y213" s="2" t="s">
        <v>55</v>
      </c>
      <c r="Z213" s="2" t="s">
        <v>55</v>
      </c>
      <c r="AA213" s="2" t="s">
        <v>56</v>
      </c>
      <c r="AB213" s="2">
        <v>14</v>
      </c>
      <c r="AC213" s="2" t="s">
        <v>57</v>
      </c>
      <c r="AD213" s="2">
        <v>3</v>
      </c>
    </row>
    <row r="214" spans="1:30" ht="30" x14ac:dyDescent="0.25">
      <c r="A214" s="2">
        <v>8</v>
      </c>
      <c r="B214" s="2" t="s">
        <v>49</v>
      </c>
      <c r="C214" s="2">
        <v>792</v>
      </c>
      <c r="D214" s="3">
        <v>44764</v>
      </c>
      <c r="E214" s="2" t="s">
        <v>850</v>
      </c>
      <c r="F214" s="2"/>
      <c r="G214" s="2" t="s">
        <v>855</v>
      </c>
      <c r="H214" s="2" t="s">
        <v>856</v>
      </c>
      <c r="I214" s="2" t="s">
        <v>51</v>
      </c>
      <c r="J214" s="3">
        <v>40838</v>
      </c>
      <c r="K214" s="2">
        <v>814</v>
      </c>
      <c r="L214" s="2"/>
      <c r="M214" s="2">
        <v>180</v>
      </c>
      <c r="N214" s="2">
        <v>155</v>
      </c>
      <c r="O214" s="2" t="s">
        <v>6</v>
      </c>
      <c r="P214" s="2" t="s">
        <v>52</v>
      </c>
      <c r="Q214" s="2"/>
      <c r="R214" s="2" t="s">
        <v>53</v>
      </c>
      <c r="S214" s="2">
        <v>8210302201</v>
      </c>
      <c r="T214" s="2" t="s">
        <v>857</v>
      </c>
      <c r="U214" s="2"/>
      <c r="V214" s="2">
        <v>9888888888</v>
      </c>
      <c r="W214" s="2" t="s">
        <v>858</v>
      </c>
      <c r="X214" s="2">
        <v>50000</v>
      </c>
      <c r="Y214" s="2" t="s">
        <v>55</v>
      </c>
      <c r="Z214" s="2" t="s">
        <v>55</v>
      </c>
      <c r="AA214" s="2" t="s">
        <v>56</v>
      </c>
      <c r="AB214" s="2">
        <v>14</v>
      </c>
      <c r="AC214" s="2" t="s">
        <v>57</v>
      </c>
      <c r="AD214" s="2">
        <v>3</v>
      </c>
    </row>
    <row r="215" spans="1:30" ht="30" x14ac:dyDescent="0.25">
      <c r="A215" s="2">
        <v>8</v>
      </c>
      <c r="B215" s="2" t="s">
        <v>49</v>
      </c>
      <c r="C215" s="2">
        <v>583</v>
      </c>
      <c r="D215" s="3">
        <v>43673</v>
      </c>
      <c r="E215" s="2" t="s">
        <v>859</v>
      </c>
      <c r="F215" s="2"/>
      <c r="G215" s="2" t="s">
        <v>860</v>
      </c>
      <c r="H215" s="2" t="s">
        <v>722</v>
      </c>
      <c r="I215" s="2" t="s">
        <v>67</v>
      </c>
      <c r="J215" s="3">
        <v>40678</v>
      </c>
      <c r="K215" s="2">
        <v>815</v>
      </c>
      <c r="L215" s="2"/>
      <c r="M215" s="2">
        <v>180</v>
      </c>
      <c r="N215" s="2">
        <v>145</v>
      </c>
      <c r="O215" s="2" t="s">
        <v>4</v>
      </c>
      <c r="P215" s="2" t="s">
        <v>52</v>
      </c>
      <c r="Q215" s="2"/>
      <c r="R215" s="2" t="s">
        <v>53</v>
      </c>
      <c r="S215" s="2">
        <v>8210302201</v>
      </c>
      <c r="T215" s="2" t="s">
        <v>861</v>
      </c>
      <c r="U215" s="2" t="s">
        <v>724</v>
      </c>
      <c r="V215" s="2">
        <v>9784164156</v>
      </c>
      <c r="W215" s="2" t="s">
        <v>467</v>
      </c>
      <c r="X215" s="2">
        <v>60000</v>
      </c>
      <c r="Y215" s="2" t="s">
        <v>55</v>
      </c>
      <c r="Z215" s="2" t="s">
        <v>55</v>
      </c>
      <c r="AA215" s="2" t="s">
        <v>56</v>
      </c>
      <c r="AB215" s="2">
        <v>14</v>
      </c>
      <c r="AC215" s="2" t="s">
        <v>57</v>
      </c>
      <c r="AD215" s="2">
        <v>0</v>
      </c>
    </row>
    <row r="216" spans="1:30" ht="30" x14ac:dyDescent="0.25">
      <c r="A216" s="2">
        <v>8</v>
      </c>
      <c r="B216" s="2" t="s">
        <v>49</v>
      </c>
      <c r="C216" s="2">
        <v>670</v>
      </c>
      <c r="D216" s="3">
        <v>44272</v>
      </c>
      <c r="E216" s="2" t="s">
        <v>862</v>
      </c>
      <c r="F216" s="2"/>
      <c r="G216" s="2" t="s">
        <v>125</v>
      </c>
      <c r="H216" s="2" t="s">
        <v>302</v>
      </c>
      <c r="I216" s="2" t="s">
        <v>67</v>
      </c>
      <c r="J216" s="3">
        <v>40569</v>
      </c>
      <c r="K216" s="2">
        <v>816</v>
      </c>
      <c r="L216" s="2"/>
      <c r="M216" s="2">
        <v>180</v>
      </c>
      <c r="N216" s="2">
        <v>161</v>
      </c>
      <c r="O216" s="2" t="s">
        <v>6</v>
      </c>
      <c r="P216" s="2"/>
      <c r="Q216" s="2"/>
      <c r="R216" s="2" t="s">
        <v>53</v>
      </c>
      <c r="S216" s="2">
        <v>8210302201</v>
      </c>
      <c r="T216" s="2" t="s">
        <v>863</v>
      </c>
      <c r="U216" s="2"/>
      <c r="V216" s="2">
        <v>7426021076</v>
      </c>
      <c r="W216" s="2" t="s">
        <v>201</v>
      </c>
      <c r="X216" s="2">
        <v>82000</v>
      </c>
      <c r="Y216" s="2" t="s">
        <v>55</v>
      </c>
      <c r="Z216" s="2" t="s">
        <v>55</v>
      </c>
      <c r="AA216" s="2"/>
      <c r="AB216" s="2">
        <v>14</v>
      </c>
      <c r="AC216" s="2" t="s">
        <v>57</v>
      </c>
      <c r="AD216" s="2">
        <v>0</v>
      </c>
    </row>
    <row r="217" spans="1:30" ht="30" x14ac:dyDescent="0.25">
      <c r="A217" s="2">
        <v>8</v>
      </c>
      <c r="B217" s="2" t="s">
        <v>49</v>
      </c>
      <c r="C217" s="2">
        <v>404</v>
      </c>
      <c r="D217" s="3">
        <v>42920</v>
      </c>
      <c r="E217" s="2" t="s">
        <v>501</v>
      </c>
      <c r="F217" s="2"/>
      <c r="G217" s="2" t="s">
        <v>864</v>
      </c>
      <c r="H217" s="2" t="s">
        <v>865</v>
      </c>
      <c r="I217" s="2" t="s">
        <v>67</v>
      </c>
      <c r="J217" s="3">
        <v>40544</v>
      </c>
      <c r="K217" s="2">
        <v>817</v>
      </c>
      <c r="L217" s="2"/>
      <c r="M217" s="2">
        <v>180</v>
      </c>
      <c r="N217" s="2">
        <v>166</v>
      </c>
      <c r="O217" s="2" t="s">
        <v>6</v>
      </c>
      <c r="P217" s="2" t="s">
        <v>52</v>
      </c>
      <c r="Q217" s="2"/>
      <c r="R217" s="2" t="s">
        <v>53</v>
      </c>
      <c r="S217" s="2">
        <v>8210302201</v>
      </c>
      <c r="T217" s="2" t="s">
        <v>866</v>
      </c>
      <c r="U217" s="2" t="s">
        <v>867</v>
      </c>
      <c r="V217" s="2">
        <v>9460361075</v>
      </c>
      <c r="W217" s="2" t="s">
        <v>796</v>
      </c>
      <c r="X217" s="2">
        <v>40000</v>
      </c>
      <c r="Y217" s="2" t="s">
        <v>55</v>
      </c>
      <c r="Z217" s="2" t="s">
        <v>55</v>
      </c>
      <c r="AA217" s="2" t="s">
        <v>56</v>
      </c>
      <c r="AB217" s="2">
        <v>14</v>
      </c>
      <c r="AC217" s="2" t="s">
        <v>57</v>
      </c>
      <c r="AD217" s="2">
        <v>0</v>
      </c>
    </row>
    <row r="218" spans="1:30" ht="30" x14ac:dyDescent="0.25">
      <c r="A218" s="2">
        <v>8</v>
      </c>
      <c r="B218" s="2" t="s">
        <v>49</v>
      </c>
      <c r="C218" s="2">
        <v>638</v>
      </c>
      <c r="D218" s="3">
        <v>44057</v>
      </c>
      <c r="E218" s="2" t="s">
        <v>205</v>
      </c>
      <c r="F218" s="2"/>
      <c r="G218" s="2" t="s">
        <v>868</v>
      </c>
      <c r="H218" s="2" t="s">
        <v>869</v>
      </c>
      <c r="I218" s="2" t="s">
        <v>67</v>
      </c>
      <c r="J218" s="3">
        <v>40544</v>
      </c>
      <c r="K218" s="2">
        <v>818</v>
      </c>
      <c r="L218" s="2"/>
      <c r="M218" s="2">
        <v>180</v>
      </c>
      <c r="N218" s="2">
        <v>169</v>
      </c>
      <c r="O218" s="2" t="s">
        <v>6</v>
      </c>
      <c r="P218" s="2" t="s">
        <v>52</v>
      </c>
      <c r="Q218" s="2"/>
      <c r="R218" s="2" t="s">
        <v>53</v>
      </c>
      <c r="S218" s="2">
        <v>8210302201</v>
      </c>
      <c r="T218" s="2" t="s">
        <v>870</v>
      </c>
      <c r="U218" s="2"/>
      <c r="V218" s="2">
        <v>9784989933</v>
      </c>
      <c r="W218" s="2" t="s">
        <v>214</v>
      </c>
      <c r="X218" s="2">
        <v>50000</v>
      </c>
      <c r="Y218" s="2" t="s">
        <v>55</v>
      </c>
      <c r="Z218" s="2" t="s">
        <v>55</v>
      </c>
      <c r="AA218" s="2" t="s">
        <v>56</v>
      </c>
      <c r="AB218" s="2">
        <v>14</v>
      </c>
      <c r="AC218" s="2" t="s">
        <v>57</v>
      </c>
      <c r="AD218" s="2">
        <v>0</v>
      </c>
    </row>
    <row r="219" spans="1:30" ht="30" x14ac:dyDescent="0.25">
      <c r="A219" s="2">
        <v>8</v>
      </c>
      <c r="B219" s="2" t="s">
        <v>49</v>
      </c>
      <c r="C219" s="2">
        <v>375</v>
      </c>
      <c r="D219" s="3">
        <v>42860</v>
      </c>
      <c r="E219" s="2" t="s">
        <v>871</v>
      </c>
      <c r="F219" s="2"/>
      <c r="G219" s="2" t="s">
        <v>872</v>
      </c>
      <c r="H219" s="2" t="s">
        <v>873</v>
      </c>
      <c r="I219" s="2" t="s">
        <v>51</v>
      </c>
      <c r="J219" s="3">
        <v>40556</v>
      </c>
      <c r="K219" s="2">
        <v>819</v>
      </c>
      <c r="L219" s="2"/>
      <c r="M219" s="2">
        <v>180</v>
      </c>
      <c r="N219" s="2">
        <v>158</v>
      </c>
      <c r="O219" s="2" t="s">
        <v>6</v>
      </c>
      <c r="P219" s="2" t="s">
        <v>52</v>
      </c>
      <c r="Q219" s="2"/>
      <c r="R219" s="2" t="s">
        <v>53</v>
      </c>
      <c r="S219" s="2">
        <v>8210302201</v>
      </c>
      <c r="T219" s="2" t="s">
        <v>874</v>
      </c>
      <c r="U219" s="2" t="s">
        <v>875</v>
      </c>
      <c r="V219" s="2">
        <v>9460361075</v>
      </c>
      <c r="W219" s="2" t="s">
        <v>815</v>
      </c>
      <c r="X219" s="2">
        <v>40000</v>
      </c>
      <c r="Y219" s="2" t="s">
        <v>55</v>
      </c>
      <c r="Z219" s="2" t="s">
        <v>55</v>
      </c>
      <c r="AA219" s="2" t="s">
        <v>56</v>
      </c>
      <c r="AB219" s="2">
        <v>14</v>
      </c>
      <c r="AC219" s="2" t="s">
        <v>57</v>
      </c>
      <c r="AD219" s="2">
        <v>0</v>
      </c>
    </row>
    <row r="220" spans="1:30" ht="45" x14ac:dyDescent="0.25">
      <c r="A220" s="2">
        <v>8</v>
      </c>
      <c r="B220" s="2" t="s">
        <v>49</v>
      </c>
      <c r="C220" s="2">
        <v>918</v>
      </c>
      <c r="D220" s="3">
        <v>45524</v>
      </c>
      <c r="E220" s="2" t="s">
        <v>876</v>
      </c>
      <c r="F220" s="2"/>
      <c r="G220" s="2" t="s">
        <v>877</v>
      </c>
      <c r="H220" s="2" t="s">
        <v>878</v>
      </c>
      <c r="I220" s="2" t="s">
        <v>51</v>
      </c>
      <c r="J220" s="3">
        <v>40909</v>
      </c>
      <c r="K220" s="2">
        <v>820</v>
      </c>
      <c r="L220" s="2"/>
      <c r="M220" s="2">
        <v>180</v>
      </c>
      <c r="N220" s="2">
        <v>115</v>
      </c>
      <c r="O220" s="2" t="s">
        <v>5</v>
      </c>
      <c r="P220" s="2" t="s">
        <v>52</v>
      </c>
      <c r="Q220" s="2"/>
      <c r="R220" s="2" t="s">
        <v>53</v>
      </c>
      <c r="S220" s="2">
        <v>8210302201</v>
      </c>
      <c r="T220" s="2" t="s">
        <v>879</v>
      </c>
      <c r="U220" s="2"/>
      <c r="V220" s="2">
        <v>9680660982</v>
      </c>
      <c r="W220" s="2" t="s">
        <v>880</v>
      </c>
      <c r="X220" s="2">
        <v>80000</v>
      </c>
      <c r="Y220" s="2" t="s">
        <v>55</v>
      </c>
      <c r="Z220" s="2" t="s">
        <v>55</v>
      </c>
      <c r="AA220" s="2" t="s">
        <v>56</v>
      </c>
      <c r="AB220" s="2">
        <v>13</v>
      </c>
      <c r="AC220" s="2" t="s">
        <v>57</v>
      </c>
      <c r="AD220" s="2">
        <v>1</v>
      </c>
    </row>
    <row r="221" spans="1:30" ht="30" x14ac:dyDescent="0.25">
      <c r="A221" s="2">
        <v>8</v>
      </c>
      <c r="B221" s="2" t="s">
        <v>49</v>
      </c>
      <c r="C221" s="2">
        <v>574</v>
      </c>
      <c r="D221" s="3">
        <v>43670</v>
      </c>
      <c r="E221" s="2" t="s">
        <v>881</v>
      </c>
      <c r="F221" s="2"/>
      <c r="G221" s="2" t="s">
        <v>882</v>
      </c>
      <c r="H221" s="2" t="s">
        <v>747</v>
      </c>
      <c r="I221" s="2" t="s">
        <v>51</v>
      </c>
      <c r="J221" s="3">
        <v>40909</v>
      </c>
      <c r="K221" s="2">
        <v>821</v>
      </c>
      <c r="L221" s="2"/>
      <c r="M221" s="2">
        <v>180</v>
      </c>
      <c r="N221" s="2">
        <v>159</v>
      </c>
      <c r="O221" s="2" t="s">
        <v>6</v>
      </c>
      <c r="P221" s="2"/>
      <c r="Q221" s="2"/>
      <c r="R221" s="2" t="s">
        <v>53</v>
      </c>
      <c r="S221" s="2">
        <v>8210302201</v>
      </c>
      <c r="T221" s="2" t="s">
        <v>883</v>
      </c>
      <c r="U221" s="2"/>
      <c r="V221" s="2">
        <v>9888888888</v>
      </c>
      <c r="W221" s="2" t="s">
        <v>884</v>
      </c>
      <c r="X221" s="2">
        <v>35000</v>
      </c>
      <c r="Y221" s="2" t="s">
        <v>55</v>
      </c>
      <c r="Z221" s="2" t="s">
        <v>55</v>
      </c>
      <c r="AA221" s="2"/>
      <c r="AB221" s="2">
        <v>13</v>
      </c>
      <c r="AC221" s="2" t="s">
        <v>57</v>
      </c>
      <c r="AD221" s="2">
        <v>0</v>
      </c>
    </row>
    <row r="222" spans="1:30" ht="30" x14ac:dyDescent="0.25">
      <c r="A222" s="2">
        <v>8</v>
      </c>
      <c r="B222" s="2" t="s">
        <v>49</v>
      </c>
      <c r="C222" s="2">
        <v>897</v>
      </c>
      <c r="D222" s="3">
        <v>45489</v>
      </c>
      <c r="E222" s="2" t="s">
        <v>885</v>
      </c>
      <c r="F222" s="2"/>
      <c r="G222" s="2" t="s">
        <v>442</v>
      </c>
      <c r="H222" s="2" t="s">
        <v>288</v>
      </c>
      <c r="I222" s="2" t="s">
        <v>51</v>
      </c>
      <c r="J222" s="3">
        <v>40544</v>
      </c>
      <c r="K222" s="2">
        <v>822</v>
      </c>
      <c r="L222" s="2"/>
      <c r="M222" s="2">
        <v>180</v>
      </c>
      <c r="N222" s="2">
        <v>160</v>
      </c>
      <c r="O222" s="2" t="s">
        <v>6</v>
      </c>
      <c r="P222" s="2" t="s">
        <v>52</v>
      </c>
      <c r="Q222" s="2"/>
      <c r="R222" s="2" t="s">
        <v>53</v>
      </c>
      <c r="S222" s="2">
        <v>8210302201</v>
      </c>
      <c r="T222" s="2" t="s">
        <v>886</v>
      </c>
      <c r="U222" s="2" t="s">
        <v>887</v>
      </c>
      <c r="V222" s="2">
        <v>9784721968</v>
      </c>
      <c r="W222" s="2" t="s">
        <v>888</v>
      </c>
      <c r="X222" s="2">
        <v>80000</v>
      </c>
      <c r="Y222" s="2" t="s">
        <v>55</v>
      </c>
      <c r="Z222" s="2" t="s">
        <v>55</v>
      </c>
      <c r="AA222" s="2" t="s">
        <v>56</v>
      </c>
      <c r="AB222" s="2">
        <v>14</v>
      </c>
      <c r="AC222" s="2" t="s">
        <v>57</v>
      </c>
      <c r="AD222" s="2">
        <v>0</v>
      </c>
    </row>
    <row r="223" spans="1:30" ht="30" x14ac:dyDescent="0.25">
      <c r="A223" s="2">
        <v>8</v>
      </c>
      <c r="B223" s="2" t="s">
        <v>49</v>
      </c>
      <c r="C223" s="2">
        <v>890</v>
      </c>
      <c r="D223" s="3">
        <v>45486</v>
      </c>
      <c r="E223" s="2" t="s">
        <v>889</v>
      </c>
      <c r="F223" s="2"/>
      <c r="G223" s="2" t="s">
        <v>890</v>
      </c>
      <c r="H223" s="2" t="s">
        <v>891</v>
      </c>
      <c r="I223" s="2" t="s">
        <v>51</v>
      </c>
      <c r="J223" s="3">
        <v>40725</v>
      </c>
      <c r="K223" s="2">
        <v>823</v>
      </c>
      <c r="L223" s="2"/>
      <c r="M223" s="2">
        <v>180</v>
      </c>
      <c r="N223" s="2">
        <v>155</v>
      </c>
      <c r="O223" s="2" t="s">
        <v>6</v>
      </c>
      <c r="P223" s="2" t="s">
        <v>52</v>
      </c>
      <c r="Q223" s="2"/>
      <c r="R223" s="2" t="s">
        <v>53</v>
      </c>
      <c r="S223" s="2">
        <v>8210302201</v>
      </c>
      <c r="T223" s="2" t="s">
        <v>892</v>
      </c>
      <c r="U223" s="2" t="s">
        <v>893</v>
      </c>
      <c r="V223" s="2">
        <v>9799346348</v>
      </c>
      <c r="W223" s="2" t="s">
        <v>894</v>
      </c>
      <c r="X223" s="2">
        <v>50000</v>
      </c>
      <c r="Y223" s="2" t="s">
        <v>55</v>
      </c>
      <c r="Z223" s="2" t="s">
        <v>55</v>
      </c>
      <c r="AA223" s="2" t="s">
        <v>56</v>
      </c>
      <c r="AB223" s="2">
        <v>14</v>
      </c>
      <c r="AC223" s="2" t="s">
        <v>57</v>
      </c>
      <c r="AD223" s="2">
        <v>3</v>
      </c>
    </row>
    <row r="224" spans="1:30" ht="30" x14ac:dyDescent="0.25">
      <c r="A224" s="2">
        <v>8</v>
      </c>
      <c r="B224" s="2" t="s">
        <v>49</v>
      </c>
      <c r="C224" s="2">
        <v>444</v>
      </c>
      <c r="D224" s="3">
        <v>42944</v>
      </c>
      <c r="E224" s="2" t="s">
        <v>895</v>
      </c>
      <c r="F224" s="2"/>
      <c r="G224" s="2" t="s">
        <v>896</v>
      </c>
      <c r="H224" s="2" t="s">
        <v>503</v>
      </c>
      <c r="I224" s="2" t="s">
        <v>67</v>
      </c>
      <c r="J224" s="3">
        <v>40246</v>
      </c>
      <c r="K224" s="2">
        <v>824</v>
      </c>
      <c r="L224" s="2"/>
      <c r="M224" s="2">
        <v>180</v>
      </c>
      <c r="N224" s="2">
        <v>162</v>
      </c>
      <c r="O224" s="2" t="s">
        <v>6</v>
      </c>
      <c r="P224" s="2" t="s">
        <v>52</v>
      </c>
      <c r="Q224" s="2"/>
      <c r="R224" s="2" t="s">
        <v>53</v>
      </c>
      <c r="S224" s="2">
        <v>8210302201</v>
      </c>
      <c r="T224" s="2" t="s">
        <v>897</v>
      </c>
      <c r="U224" s="2"/>
      <c r="V224" s="2">
        <v>9460361075</v>
      </c>
      <c r="W224" s="2" t="s">
        <v>815</v>
      </c>
      <c r="X224" s="2">
        <v>60000</v>
      </c>
      <c r="Y224" s="2" t="s">
        <v>55</v>
      </c>
      <c r="Z224" s="2" t="s">
        <v>55</v>
      </c>
      <c r="AA224" s="2" t="s">
        <v>56</v>
      </c>
      <c r="AB224" s="2">
        <v>15</v>
      </c>
      <c r="AC224" s="2" t="s">
        <v>57</v>
      </c>
      <c r="AD224" s="2">
        <v>0</v>
      </c>
    </row>
    <row r="225" spans="1:30" ht="30" x14ac:dyDescent="0.25">
      <c r="A225" s="2">
        <v>8</v>
      </c>
      <c r="B225" s="2" t="s">
        <v>49</v>
      </c>
      <c r="C225" s="2">
        <v>405</v>
      </c>
      <c r="D225" s="3">
        <v>42920</v>
      </c>
      <c r="E225" s="2" t="s">
        <v>898</v>
      </c>
      <c r="F225" s="2"/>
      <c r="G225" s="2" t="s">
        <v>899</v>
      </c>
      <c r="H225" s="2" t="s">
        <v>900</v>
      </c>
      <c r="I225" s="2" t="s">
        <v>51</v>
      </c>
      <c r="J225" s="3">
        <v>40497</v>
      </c>
      <c r="K225" s="2">
        <v>826</v>
      </c>
      <c r="L225" s="2"/>
      <c r="M225" s="2">
        <v>180</v>
      </c>
      <c r="N225" s="2">
        <v>141</v>
      </c>
      <c r="O225" s="2" t="s">
        <v>6</v>
      </c>
      <c r="P225" s="2" t="s">
        <v>52</v>
      </c>
      <c r="Q225" s="2"/>
      <c r="R225" s="2" t="s">
        <v>53</v>
      </c>
      <c r="S225" s="2">
        <v>8210302201</v>
      </c>
      <c r="T225" s="2" t="s">
        <v>901</v>
      </c>
      <c r="U225" s="2"/>
      <c r="V225" s="2">
        <v>9460361075</v>
      </c>
      <c r="W225" s="2" t="s">
        <v>815</v>
      </c>
      <c r="X225" s="2">
        <v>58000</v>
      </c>
      <c r="Y225" s="2" t="s">
        <v>55</v>
      </c>
      <c r="Z225" s="2" t="s">
        <v>55</v>
      </c>
      <c r="AA225" s="2" t="s">
        <v>56</v>
      </c>
      <c r="AB225" s="2">
        <v>15</v>
      </c>
      <c r="AC225" s="2" t="s">
        <v>57</v>
      </c>
      <c r="AD225" s="2">
        <v>0</v>
      </c>
    </row>
    <row r="226" spans="1:30" ht="30" x14ac:dyDescent="0.25">
      <c r="A226" s="2">
        <v>8</v>
      </c>
      <c r="B226" s="2" t="s">
        <v>49</v>
      </c>
      <c r="C226" s="2">
        <v>451</v>
      </c>
      <c r="D226" s="3">
        <v>42976</v>
      </c>
      <c r="E226" s="2" t="s">
        <v>898</v>
      </c>
      <c r="F226" s="2"/>
      <c r="G226" s="2" t="s">
        <v>864</v>
      </c>
      <c r="H226" s="2" t="s">
        <v>694</v>
      </c>
      <c r="I226" s="2" t="s">
        <v>51</v>
      </c>
      <c r="J226" s="3">
        <v>40493</v>
      </c>
      <c r="K226" s="2">
        <v>825</v>
      </c>
      <c r="L226" s="2"/>
      <c r="M226" s="2">
        <v>180</v>
      </c>
      <c r="N226" s="2">
        <v>78</v>
      </c>
      <c r="O226" s="2" t="s">
        <v>6</v>
      </c>
      <c r="P226" s="2" t="s">
        <v>52</v>
      </c>
      <c r="Q226" s="2"/>
      <c r="R226" s="2" t="s">
        <v>53</v>
      </c>
      <c r="S226" s="2">
        <v>8210302201</v>
      </c>
      <c r="T226" s="2"/>
      <c r="U226" s="2"/>
      <c r="V226" s="2">
        <v>9829933424</v>
      </c>
      <c r="W226" s="2" t="s">
        <v>815</v>
      </c>
      <c r="X226" s="2">
        <v>60000</v>
      </c>
      <c r="Y226" s="2" t="s">
        <v>55</v>
      </c>
      <c r="Z226" s="2" t="s">
        <v>55</v>
      </c>
      <c r="AA226" s="2" t="s">
        <v>56</v>
      </c>
      <c r="AB226" s="2">
        <v>15</v>
      </c>
      <c r="AC226" s="2" t="s">
        <v>57</v>
      </c>
      <c r="AD226" s="2">
        <v>0</v>
      </c>
    </row>
    <row r="227" spans="1:30" ht="45" x14ac:dyDescent="0.25">
      <c r="A227" s="2">
        <v>8</v>
      </c>
      <c r="B227" s="2" t="s">
        <v>49</v>
      </c>
      <c r="C227" s="2">
        <v>779</v>
      </c>
      <c r="D227" s="3">
        <v>42927</v>
      </c>
      <c r="E227" s="2" t="s">
        <v>902</v>
      </c>
      <c r="F227" s="2"/>
      <c r="G227" s="2" t="s">
        <v>903</v>
      </c>
      <c r="H227" s="2" t="s">
        <v>451</v>
      </c>
      <c r="I227" s="2" t="s">
        <v>51</v>
      </c>
      <c r="J227" s="3">
        <v>41019</v>
      </c>
      <c r="K227" s="2">
        <v>827</v>
      </c>
      <c r="L227" s="2"/>
      <c r="M227" s="2">
        <v>180</v>
      </c>
      <c r="N227" s="2">
        <v>160</v>
      </c>
      <c r="O227" s="2" t="s">
        <v>6</v>
      </c>
      <c r="P227" s="2" t="s">
        <v>52</v>
      </c>
      <c r="Q227" s="2"/>
      <c r="R227" s="2" t="s">
        <v>53</v>
      </c>
      <c r="S227" s="2">
        <v>8210302201</v>
      </c>
      <c r="T227" s="2" t="s">
        <v>904</v>
      </c>
      <c r="U227" s="2"/>
      <c r="V227" s="2">
        <v>9829399003</v>
      </c>
      <c r="W227" s="2" t="s">
        <v>905</v>
      </c>
      <c r="X227" s="2">
        <v>0</v>
      </c>
      <c r="Y227" s="2" t="s">
        <v>55</v>
      </c>
      <c r="Z227" s="2" t="s">
        <v>55</v>
      </c>
      <c r="AA227" s="2" t="s">
        <v>56</v>
      </c>
      <c r="AB227" s="2">
        <v>13</v>
      </c>
      <c r="AC227" s="2" t="s">
        <v>57</v>
      </c>
      <c r="AD227" s="2">
        <v>3</v>
      </c>
    </row>
    <row r="228" spans="1:30" ht="30" x14ac:dyDescent="0.25">
      <c r="A228" s="2">
        <v>8</v>
      </c>
      <c r="B228" s="2" t="s">
        <v>49</v>
      </c>
      <c r="C228" s="2">
        <v>470</v>
      </c>
      <c r="D228" s="3">
        <v>43285</v>
      </c>
      <c r="E228" s="2" t="s">
        <v>906</v>
      </c>
      <c r="F228" s="2"/>
      <c r="G228" s="2" t="s">
        <v>553</v>
      </c>
      <c r="H228" s="2" t="s">
        <v>554</v>
      </c>
      <c r="I228" s="2" t="s">
        <v>51</v>
      </c>
      <c r="J228" s="3">
        <v>40510</v>
      </c>
      <c r="K228" s="2">
        <v>828</v>
      </c>
      <c r="L228" s="2"/>
      <c r="M228" s="2">
        <v>180</v>
      </c>
      <c r="N228" s="2">
        <v>160</v>
      </c>
      <c r="O228" s="2" t="s">
        <v>4</v>
      </c>
      <c r="P228" s="2" t="s">
        <v>52</v>
      </c>
      <c r="Q228" s="2"/>
      <c r="R228" s="2" t="s">
        <v>53</v>
      </c>
      <c r="S228" s="2">
        <v>8210302201</v>
      </c>
      <c r="T228" s="2" t="s">
        <v>907</v>
      </c>
      <c r="U228" s="2" t="s">
        <v>556</v>
      </c>
      <c r="V228" s="2">
        <v>7976909816</v>
      </c>
      <c r="W228" s="2" t="s">
        <v>472</v>
      </c>
      <c r="X228" s="2">
        <v>40000</v>
      </c>
      <c r="Y228" s="2" t="s">
        <v>55</v>
      </c>
      <c r="Z228" s="2" t="s">
        <v>55</v>
      </c>
      <c r="AA228" s="2" t="s">
        <v>56</v>
      </c>
      <c r="AB228" s="2">
        <v>15</v>
      </c>
      <c r="AC228" s="2" t="s">
        <v>57</v>
      </c>
      <c r="AD228" s="2">
        <v>1</v>
      </c>
    </row>
    <row r="229" spans="1:30" ht="30" x14ac:dyDescent="0.25">
      <c r="A229" s="2">
        <v>8</v>
      </c>
      <c r="B229" s="2" t="s">
        <v>49</v>
      </c>
      <c r="C229" s="2">
        <v>445</v>
      </c>
      <c r="D229" s="3">
        <v>42944</v>
      </c>
      <c r="E229" s="2" t="s">
        <v>778</v>
      </c>
      <c r="F229" s="2"/>
      <c r="G229" s="2" t="s">
        <v>908</v>
      </c>
      <c r="H229" s="2" t="s">
        <v>909</v>
      </c>
      <c r="I229" s="2" t="s">
        <v>51</v>
      </c>
      <c r="J229" s="3">
        <v>40909</v>
      </c>
      <c r="K229" s="2">
        <v>829</v>
      </c>
      <c r="L229" s="2"/>
      <c r="M229" s="2">
        <v>180</v>
      </c>
      <c r="N229" s="2">
        <v>161</v>
      </c>
      <c r="O229" s="2" t="s">
        <v>6</v>
      </c>
      <c r="P229" s="2" t="s">
        <v>52</v>
      </c>
      <c r="Q229" s="2"/>
      <c r="R229" s="2" t="s">
        <v>53</v>
      </c>
      <c r="S229" s="2">
        <v>8210302201</v>
      </c>
      <c r="T229" s="2" t="s">
        <v>910</v>
      </c>
      <c r="U229" s="2"/>
      <c r="V229" s="2">
        <v>8003573992</v>
      </c>
      <c r="W229" s="2" t="s">
        <v>815</v>
      </c>
      <c r="X229" s="2">
        <v>50000</v>
      </c>
      <c r="Y229" s="2" t="s">
        <v>55</v>
      </c>
      <c r="Z229" s="2" t="s">
        <v>55</v>
      </c>
      <c r="AA229" s="2" t="s">
        <v>56</v>
      </c>
      <c r="AB229" s="2">
        <v>13</v>
      </c>
      <c r="AC229" s="2" t="s">
        <v>57</v>
      </c>
      <c r="AD229" s="2">
        <v>0</v>
      </c>
    </row>
    <row r="230" spans="1:30" ht="30" x14ac:dyDescent="0.25">
      <c r="A230" s="2">
        <v>8</v>
      </c>
      <c r="B230" s="2" t="s">
        <v>49</v>
      </c>
      <c r="C230" s="2">
        <v>376</v>
      </c>
      <c r="D230" s="3">
        <v>42909</v>
      </c>
      <c r="E230" s="2" t="s">
        <v>911</v>
      </c>
      <c r="F230" s="2"/>
      <c r="G230" s="2" t="s">
        <v>912</v>
      </c>
      <c r="H230" s="2" t="s">
        <v>913</v>
      </c>
      <c r="I230" s="2" t="s">
        <v>67</v>
      </c>
      <c r="J230" s="3">
        <v>40762</v>
      </c>
      <c r="K230" s="2">
        <v>830</v>
      </c>
      <c r="L230" s="2"/>
      <c r="M230" s="2">
        <v>180</v>
      </c>
      <c r="N230" s="2">
        <v>165</v>
      </c>
      <c r="O230" s="2" t="s">
        <v>6</v>
      </c>
      <c r="P230" s="2" t="s">
        <v>52</v>
      </c>
      <c r="Q230" s="2"/>
      <c r="R230" s="2" t="s">
        <v>53</v>
      </c>
      <c r="S230" s="2">
        <v>8210302201</v>
      </c>
      <c r="T230" s="2" t="s">
        <v>914</v>
      </c>
      <c r="U230" s="2" t="s">
        <v>915</v>
      </c>
      <c r="V230" s="2">
        <v>9001840492</v>
      </c>
      <c r="W230" s="2" t="s">
        <v>815</v>
      </c>
      <c r="X230" s="2">
        <v>40000</v>
      </c>
      <c r="Y230" s="2" t="s">
        <v>55</v>
      </c>
      <c r="Z230" s="2" t="s">
        <v>55</v>
      </c>
      <c r="AA230" s="2" t="s">
        <v>56</v>
      </c>
      <c r="AB230" s="2">
        <v>14</v>
      </c>
      <c r="AC230" s="2" t="s">
        <v>57</v>
      </c>
      <c r="AD230" s="2">
        <v>0</v>
      </c>
    </row>
    <row r="231" spans="1:30" ht="45" x14ac:dyDescent="0.25">
      <c r="A231" s="2">
        <v>8</v>
      </c>
      <c r="B231" s="2" t="s">
        <v>49</v>
      </c>
      <c r="C231" s="2">
        <v>783</v>
      </c>
      <c r="D231" s="3">
        <v>43304</v>
      </c>
      <c r="E231" s="2" t="s">
        <v>916</v>
      </c>
      <c r="F231" s="2"/>
      <c r="G231" s="2" t="s">
        <v>511</v>
      </c>
      <c r="H231" s="2" t="s">
        <v>657</v>
      </c>
      <c r="I231" s="2" t="s">
        <v>51</v>
      </c>
      <c r="J231" s="3">
        <v>41374</v>
      </c>
      <c r="K231" s="2">
        <v>831</v>
      </c>
      <c r="L231" s="2"/>
      <c r="M231" s="2">
        <v>180</v>
      </c>
      <c r="N231" s="2">
        <v>161</v>
      </c>
      <c r="O231" s="2" t="s">
        <v>6</v>
      </c>
      <c r="P231" s="2" t="s">
        <v>52</v>
      </c>
      <c r="Q231" s="2"/>
      <c r="R231" s="2" t="s">
        <v>53</v>
      </c>
      <c r="S231" s="2">
        <v>8210302201</v>
      </c>
      <c r="T231" s="2" t="s">
        <v>917</v>
      </c>
      <c r="U231" s="2"/>
      <c r="V231" s="2">
        <v>7339912713</v>
      </c>
      <c r="W231" s="2" t="s">
        <v>918</v>
      </c>
      <c r="X231" s="2">
        <v>0</v>
      </c>
      <c r="Y231" s="2" t="s">
        <v>55</v>
      </c>
      <c r="Z231" s="2" t="s">
        <v>55</v>
      </c>
      <c r="AA231" s="2" t="s">
        <v>56</v>
      </c>
      <c r="AB231" s="2">
        <v>12</v>
      </c>
      <c r="AC231" s="2" t="s">
        <v>57</v>
      </c>
      <c r="AD231" s="2">
        <v>3</v>
      </c>
    </row>
    <row r="232" spans="1:30" ht="30" x14ac:dyDescent="0.25">
      <c r="A232" s="2">
        <v>8</v>
      </c>
      <c r="B232" s="2" t="s">
        <v>49</v>
      </c>
      <c r="C232" s="2">
        <v>631</v>
      </c>
      <c r="D232" s="3">
        <v>44056</v>
      </c>
      <c r="E232" s="2" t="s">
        <v>798</v>
      </c>
      <c r="F232" s="2"/>
      <c r="G232" s="2" t="s">
        <v>919</v>
      </c>
      <c r="H232" s="2" t="s">
        <v>743</v>
      </c>
      <c r="I232" s="2" t="s">
        <v>67</v>
      </c>
      <c r="J232" s="3">
        <v>40179</v>
      </c>
      <c r="K232" s="2">
        <v>832</v>
      </c>
      <c r="L232" s="2"/>
      <c r="M232" s="2">
        <v>180</v>
      </c>
      <c r="N232" s="2">
        <v>162</v>
      </c>
      <c r="O232" s="2" t="s">
        <v>6</v>
      </c>
      <c r="P232" s="2" t="s">
        <v>52</v>
      </c>
      <c r="Q232" s="2"/>
      <c r="R232" s="2" t="s">
        <v>53</v>
      </c>
      <c r="S232" s="2">
        <v>8210302201</v>
      </c>
      <c r="T232" s="2" t="s">
        <v>920</v>
      </c>
      <c r="U232" s="2"/>
      <c r="V232" s="2">
        <v>9784038172</v>
      </c>
      <c r="W232" s="2" t="s">
        <v>214</v>
      </c>
      <c r="X232" s="2">
        <v>60000</v>
      </c>
      <c r="Y232" s="2" t="s">
        <v>55</v>
      </c>
      <c r="Z232" s="2" t="s">
        <v>55</v>
      </c>
      <c r="AA232" s="2" t="s">
        <v>56</v>
      </c>
      <c r="AB232" s="2">
        <v>15</v>
      </c>
      <c r="AC232" s="2" t="s">
        <v>57</v>
      </c>
      <c r="AD232" s="2">
        <v>0</v>
      </c>
    </row>
    <row r="233" spans="1:30" ht="30" x14ac:dyDescent="0.25">
      <c r="A233" s="2">
        <v>8</v>
      </c>
      <c r="B233" s="2" t="s">
        <v>49</v>
      </c>
      <c r="C233" s="2">
        <v>725</v>
      </c>
      <c r="D233" s="3">
        <v>44431</v>
      </c>
      <c r="E233" s="2" t="s">
        <v>921</v>
      </c>
      <c r="F233" s="2"/>
      <c r="G233" s="2" t="s">
        <v>922</v>
      </c>
      <c r="H233" s="2" t="s">
        <v>923</v>
      </c>
      <c r="I233" s="2" t="s">
        <v>67</v>
      </c>
      <c r="J233" s="3">
        <v>40758</v>
      </c>
      <c r="K233" s="2">
        <v>833</v>
      </c>
      <c r="L233" s="2"/>
      <c r="M233" s="2">
        <v>180</v>
      </c>
      <c r="N233" s="2">
        <v>159</v>
      </c>
      <c r="O233" s="2" t="s">
        <v>6</v>
      </c>
      <c r="P233" s="2"/>
      <c r="Q233" s="2"/>
      <c r="R233" s="2" t="s">
        <v>53</v>
      </c>
      <c r="S233" s="2">
        <v>8210302201</v>
      </c>
      <c r="T233" s="2" t="s">
        <v>924</v>
      </c>
      <c r="U233" s="2"/>
      <c r="V233" s="2">
        <v>9929611454</v>
      </c>
      <c r="W233" s="2" t="s">
        <v>201</v>
      </c>
      <c r="X233" s="2">
        <v>80000</v>
      </c>
      <c r="Y233" s="2" t="s">
        <v>55</v>
      </c>
      <c r="Z233" s="2" t="s">
        <v>55</v>
      </c>
      <c r="AA233" s="2"/>
      <c r="AB233" s="2">
        <v>14</v>
      </c>
      <c r="AC233" s="2" t="s">
        <v>57</v>
      </c>
      <c r="AD233" s="2">
        <v>0</v>
      </c>
    </row>
    <row r="234" spans="1:30" ht="30" x14ac:dyDescent="0.25">
      <c r="A234" s="2">
        <v>8</v>
      </c>
      <c r="B234" s="2" t="s">
        <v>49</v>
      </c>
      <c r="C234" s="2">
        <v>749</v>
      </c>
      <c r="D234" s="3">
        <v>44523</v>
      </c>
      <c r="E234" s="2" t="s">
        <v>925</v>
      </c>
      <c r="F234" s="2"/>
      <c r="G234" s="2" t="s">
        <v>926</v>
      </c>
      <c r="H234" s="2" t="s">
        <v>806</v>
      </c>
      <c r="I234" s="2" t="s">
        <v>51</v>
      </c>
      <c r="J234" s="3">
        <v>40544</v>
      </c>
      <c r="K234" s="2">
        <v>834</v>
      </c>
      <c r="L234" s="2"/>
      <c r="M234" s="2">
        <v>180</v>
      </c>
      <c r="N234" s="2">
        <v>161</v>
      </c>
      <c r="O234" s="2" t="s">
        <v>6</v>
      </c>
      <c r="P234" s="2" t="s">
        <v>52</v>
      </c>
      <c r="Q234" s="2"/>
      <c r="R234" s="2" t="s">
        <v>53</v>
      </c>
      <c r="S234" s="2">
        <v>8210302201</v>
      </c>
      <c r="T234" s="2" t="s">
        <v>927</v>
      </c>
      <c r="U234" s="2"/>
      <c r="V234" s="2">
        <v>9950030925</v>
      </c>
      <c r="W234" s="2"/>
      <c r="X234" s="2"/>
      <c r="Y234" s="2" t="s">
        <v>55</v>
      </c>
      <c r="Z234" s="2" t="s">
        <v>55</v>
      </c>
      <c r="AA234" s="2" t="s">
        <v>56</v>
      </c>
      <c r="AB234" s="2">
        <v>14</v>
      </c>
      <c r="AC234" s="2" t="s">
        <v>57</v>
      </c>
      <c r="AD234" s="2">
        <v>3</v>
      </c>
    </row>
    <row r="235" spans="1:30" ht="30" x14ac:dyDescent="0.25">
      <c r="A235" s="2">
        <v>8</v>
      </c>
      <c r="B235" s="2" t="s">
        <v>49</v>
      </c>
      <c r="C235" s="2">
        <v>411</v>
      </c>
      <c r="D235" s="3">
        <v>42921</v>
      </c>
      <c r="E235" s="2" t="s">
        <v>928</v>
      </c>
      <c r="F235" s="2"/>
      <c r="G235" s="2" t="s">
        <v>929</v>
      </c>
      <c r="H235" s="2" t="s">
        <v>930</v>
      </c>
      <c r="I235" s="2" t="s">
        <v>67</v>
      </c>
      <c r="J235" s="3">
        <v>40648</v>
      </c>
      <c r="K235" s="2">
        <v>835</v>
      </c>
      <c r="L235" s="2"/>
      <c r="M235" s="2">
        <v>180</v>
      </c>
      <c r="N235" s="2">
        <v>163</v>
      </c>
      <c r="O235" s="2" t="s">
        <v>6</v>
      </c>
      <c r="P235" s="2" t="s">
        <v>52</v>
      </c>
      <c r="Q235" s="2"/>
      <c r="R235" s="2" t="s">
        <v>53</v>
      </c>
      <c r="S235" s="2">
        <v>8210302201</v>
      </c>
      <c r="T235" s="2" t="s">
        <v>931</v>
      </c>
      <c r="U235" s="2"/>
      <c r="V235" s="2">
        <v>9460361075</v>
      </c>
      <c r="W235" s="2" t="s">
        <v>815</v>
      </c>
      <c r="X235" s="2">
        <v>30000</v>
      </c>
      <c r="Y235" s="2" t="s">
        <v>55</v>
      </c>
      <c r="Z235" s="2" t="s">
        <v>55</v>
      </c>
      <c r="AA235" s="2" t="s">
        <v>56</v>
      </c>
      <c r="AB235" s="2">
        <v>14</v>
      </c>
      <c r="AC235" s="2" t="s">
        <v>57</v>
      </c>
      <c r="AD235" s="2">
        <v>0</v>
      </c>
    </row>
    <row r="236" spans="1:30" ht="30" x14ac:dyDescent="0.25">
      <c r="A236" s="2">
        <v>8</v>
      </c>
      <c r="B236" s="2" t="s">
        <v>49</v>
      </c>
      <c r="C236" s="2">
        <v>602</v>
      </c>
      <c r="D236" s="3">
        <v>43705</v>
      </c>
      <c r="E236" s="2" t="s">
        <v>932</v>
      </c>
      <c r="F236" s="2"/>
      <c r="G236" s="2" t="s">
        <v>933</v>
      </c>
      <c r="H236" s="2" t="s">
        <v>934</v>
      </c>
      <c r="I236" s="2" t="s">
        <v>51</v>
      </c>
      <c r="J236" s="3">
        <v>41142</v>
      </c>
      <c r="K236" s="2">
        <v>836</v>
      </c>
      <c r="L236" s="2"/>
      <c r="M236" s="2">
        <v>180</v>
      </c>
      <c r="N236" s="2">
        <v>161</v>
      </c>
      <c r="O236" s="2" t="s">
        <v>6</v>
      </c>
      <c r="P236" s="2"/>
      <c r="Q236" s="2"/>
      <c r="R236" s="2" t="s">
        <v>53</v>
      </c>
      <c r="S236" s="2">
        <v>8210302201</v>
      </c>
      <c r="T236" s="2" t="s">
        <v>935</v>
      </c>
      <c r="U236" s="2"/>
      <c r="V236" s="2">
        <v>9680178520</v>
      </c>
      <c r="W236" s="2" t="s">
        <v>201</v>
      </c>
      <c r="X236" s="2">
        <v>38000</v>
      </c>
      <c r="Y236" s="2" t="s">
        <v>55</v>
      </c>
      <c r="Z236" s="2" t="s">
        <v>55</v>
      </c>
      <c r="AA236" s="2"/>
      <c r="AB236" s="2">
        <v>13</v>
      </c>
      <c r="AC236" s="2" t="s">
        <v>57</v>
      </c>
      <c r="AD236" s="2">
        <v>0</v>
      </c>
    </row>
    <row r="237" spans="1:30" ht="30" x14ac:dyDescent="0.25">
      <c r="A237" s="2">
        <v>8</v>
      </c>
      <c r="B237" s="2" t="s">
        <v>49</v>
      </c>
      <c r="C237" s="2">
        <v>382</v>
      </c>
      <c r="D237" s="3">
        <v>42914</v>
      </c>
      <c r="E237" s="2" t="s">
        <v>649</v>
      </c>
      <c r="F237" s="2"/>
      <c r="G237" s="2" t="s">
        <v>936</v>
      </c>
      <c r="H237" s="2" t="s">
        <v>571</v>
      </c>
      <c r="I237" s="2" t="s">
        <v>51</v>
      </c>
      <c r="J237" s="3">
        <v>40622</v>
      </c>
      <c r="K237" s="2">
        <v>837</v>
      </c>
      <c r="L237" s="2"/>
      <c r="M237" s="2">
        <v>180</v>
      </c>
      <c r="N237" s="2">
        <v>166</v>
      </c>
      <c r="O237" s="2" t="s">
        <v>6</v>
      </c>
      <c r="P237" s="2" t="s">
        <v>52</v>
      </c>
      <c r="Q237" s="2"/>
      <c r="R237" s="2" t="s">
        <v>53</v>
      </c>
      <c r="S237" s="2">
        <v>8210302201</v>
      </c>
      <c r="T237" s="2" t="s">
        <v>937</v>
      </c>
      <c r="U237" s="2" t="s">
        <v>938</v>
      </c>
      <c r="V237" s="2">
        <v>9460361075</v>
      </c>
      <c r="W237" s="2" t="s">
        <v>815</v>
      </c>
      <c r="X237" s="2">
        <v>70000</v>
      </c>
      <c r="Y237" s="2" t="s">
        <v>55</v>
      </c>
      <c r="Z237" s="2" t="s">
        <v>55</v>
      </c>
      <c r="AA237" s="2" t="s">
        <v>56</v>
      </c>
      <c r="AB237" s="2">
        <v>14</v>
      </c>
      <c r="AC237" s="2" t="s">
        <v>57</v>
      </c>
      <c r="AD237" s="2">
        <v>0</v>
      </c>
    </row>
    <row r="238" spans="1:30" ht="30" x14ac:dyDescent="0.25">
      <c r="A238" s="2">
        <v>8</v>
      </c>
      <c r="B238" s="2" t="s">
        <v>49</v>
      </c>
      <c r="C238" s="2">
        <v>402</v>
      </c>
      <c r="D238" s="3">
        <v>42920</v>
      </c>
      <c r="E238" s="2" t="s">
        <v>939</v>
      </c>
      <c r="F238" s="2"/>
      <c r="G238" s="2" t="s">
        <v>940</v>
      </c>
      <c r="H238" s="2" t="s">
        <v>643</v>
      </c>
      <c r="I238" s="2" t="s">
        <v>67</v>
      </c>
      <c r="J238" s="3">
        <v>40697</v>
      </c>
      <c r="K238" s="2">
        <v>838</v>
      </c>
      <c r="L238" s="2"/>
      <c r="M238" s="2">
        <v>180</v>
      </c>
      <c r="N238" s="2">
        <v>149</v>
      </c>
      <c r="O238" s="2" t="s">
        <v>4</v>
      </c>
      <c r="P238" s="2" t="s">
        <v>52</v>
      </c>
      <c r="Q238" s="2"/>
      <c r="R238" s="2" t="s">
        <v>53</v>
      </c>
      <c r="S238" s="2">
        <v>8210302201</v>
      </c>
      <c r="T238" s="2" t="s">
        <v>941</v>
      </c>
      <c r="U238" s="2" t="s">
        <v>942</v>
      </c>
      <c r="V238" s="2">
        <v>9460361075</v>
      </c>
      <c r="W238" s="2" t="s">
        <v>815</v>
      </c>
      <c r="X238" s="2">
        <v>40000</v>
      </c>
      <c r="Y238" s="2" t="s">
        <v>55</v>
      </c>
      <c r="Z238" s="2" t="s">
        <v>55</v>
      </c>
      <c r="AA238" s="2" t="s">
        <v>56</v>
      </c>
      <c r="AB238" s="2">
        <v>14</v>
      </c>
      <c r="AC238" s="2" t="s">
        <v>57</v>
      </c>
      <c r="AD238" s="2">
        <v>0</v>
      </c>
    </row>
    <row r="239" spans="1:30" ht="30" x14ac:dyDescent="0.25">
      <c r="A239" s="2">
        <v>8</v>
      </c>
      <c r="B239" s="2" t="s">
        <v>49</v>
      </c>
      <c r="C239" s="2">
        <v>661</v>
      </c>
      <c r="D239" s="3">
        <v>44251</v>
      </c>
      <c r="E239" s="2" t="s">
        <v>943</v>
      </c>
      <c r="F239" s="2"/>
      <c r="G239" s="2" t="s">
        <v>944</v>
      </c>
      <c r="H239" s="2" t="s">
        <v>945</v>
      </c>
      <c r="I239" s="2" t="s">
        <v>51</v>
      </c>
      <c r="J239" s="3">
        <v>39932</v>
      </c>
      <c r="K239" s="2">
        <v>839</v>
      </c>
      <c r="L239" s="2"/>
      <c r="M239" s="2">
        <v>180</v>
      </c>
      <c r="N239" s="2">
        <v>151</v>
      </c>
      <c r="O239" s="2" t="s">
        <v>6</v>
      </c>
      <c r="P239" s="2"/>
      <c r="Q239" s="2"/>
      <c r="R239" s="2" t="s">
        <v>53</v>
      </c>
      <c r="S239" s="2">
        <v>8210302201</v>
      </c>
      <c r="T239" s="2" t="s">
        <v>946</v>
      </c>
      <c r="U239" s="2"/>
      <c r="V239" s="2">
        <v>9829997619</v>
      </c>
      <c r="W239" s="2" t="s">
        <v>201</v>
      </c>
      <c r="X239" s="2">
        <v>80000</v>
      </c>
      <c r="Y239" s="2" t="s">
        <v>55</v>
      </c>
      <c r="Z239" s="2" t="s">
        <v>55</v>
      </c>
      <c r="AA239" s="2"/>
      <c r="AB239" s="2">
        <v>16</v>
      </c>
      <c r="AC239" s="2" t="s">
        <v>57</v>
      </c>
      <c r="AD239" s="2">
        <v>0</v>
      </c>
    </row>
    <row r="240" spans="1:30" ht="30" x14ac:dyDescent="0.25">
      <c r="A240" s="2">
        <v>9</v>
      </c>
      <c r="B240" s="2" t="s">
        <v>49</v>
      </c>
      <c r="C240" s="2">
        <v>723</v>
      </c>
      <c r="D240" s="3">
        <v>44429</v>
      </c>
      <c r="E240" s="2" t="s">
        <v>947</v>
      </c>
      <c r="F240" s="2"/>
      <c r="G240" s="2" t="s">
        <v>948</v>
      </c>
      <c r="H240" s="2" t="s">
        <v>766</v>
      </c>
      <c r="I240" s="2" t="s">
        <v>51</v>
      </c>
      <c r="J240" s="3">
        <v>40483</v>
      </c>
      <c r="K240" s="2">
        <v>901</v>
      </c>
      <c r="L240" s="2"/>
      <c r="M240" s="2">
        <v>213</v>
      </c>
      <c r="N240" s="2">
        <v>134</v>
      </c>
      <c r="O240" s="2" t="s">
        <v>7</v>
      </c>
      <c r="P240" s="2"/>
      <c r="Q240" s="2"/>
      <c r="R240" s="2" t="s">
        <v>53</v>
      </c>
      <c r="S240" s="2">
        <v>8210302201</v>
      </c>
      <c r="T240" s="2" t="s">
        <v>949</v>
      </c>
      <c r="U240" s="2"/>
      <c r="V240" s="2">
        <v>8003543428</v>
      </c>
      <c r="W240" s="2" t="s">
        <v>461</v>
      </c>
      <c r="X240" s="2">
        <v>0</v>
      </c>
      <c r="Y240" s="2" t="s">
        <v>55</v>
      </c>
      <c r="Z240" s="2" t="s">
        <v>55</v>
      </c>
      <c r="AA240" s="2"/>
      <c r="AB240" s="2">
        <v>15</v>
      </c>
      <c r="AC240" s="2" t="s">
        <v>57</v>
      </c>
      <c r="AD240" s="2">
        <v>1</v>
      </c>
    </row>
    <row r="241" spans="1:30" ht="30" x14ac:dyDescent="0.25">
      <c r="A241" s="2">
        <v>9</v>
      </c>
      <c r="B241" s="2" t="s">
        <v>49</v>
      </c>
      <c r="C241" s="2">
        <v>506</v>
      </c>
      <c r="D241" s="3">
        <v>43292</v>
      </c>
      <c r="E241" s="2" t="s">
        <v>680</v>
      </c>
      <c r="F241" s="2"/>
      <c r="G241" s="2" t="s">
        <v>817</v>
      </c>
      <c r="H241" s="2" t="s">
        <v>508</v>
      </c>
      <c r="I241" s="2" t="s">
        <v>51</v>
      </c>
      <c r="J241" s="3">
        <v>39814</v>
      </c>
      <c r="K241" s="2">
        <v>902</v>
      </c>
      <c r="L241" s="2"/>
      <c r="M241" s="2">
        <v>213</v>
      </c>
      <c r="N241" s="2">
        <v>154</v>
      </c>
      <c r="O241" s="2" t="s">
        <v>6</v>
      </c>
      <c r="P241" s="2" t="s">
        <v>52</v>
      </c>
      <c r="Q241" s="2"/>
      <c r="R241" s="2" t="s">
        <v>53</v>
      </c>
      <c r="S241" s="2">
        <v>8210302201</v>
      </c>
      <c r="T241" s="2" t="s">
        <v>950</v>
      </c>
      <c r="U241" s="2"/>
      <c r="V241" s="2">
        <v>8003803880</v>
      </c>
      <c r="W241" s="2" t="s">
        <v>951</v>
      </c>
      <c r="X241" s="2">
        <v>50000</v>
      </c>
      <c r="Y241" s="2" t="s">
        <v>55</v>
      </c>
      <c r="Z241" s="2" t="s">
        <v>55</v>
      </c>
      <c r="AA241" s="2" t="s">
        <v>56</v>
      </c>
      <c r="AB241" s="2">
        <v>16</v>
      </c>
      <c r="AC241" s="2" t="s">
        <v>57</v>
      </c>
      <c r="AD241" s="2">
        <v>0</v>
      </c>
    </row>
    <row r="242" spans="1:30" ht="30" x14ac:dyDescent="0.25">
      <c r="A242" s="2">
        <v>9</v>
      </c>
      <c r="B242" s="2" t="s">
        <v>49</v>
      </c>
      <c r="C242" s="2">
        <v>571</v>
      </c>
      <c r="D242" s="3">
        <v>43661</v>
      </c>
      <c r="E242" s="2" t="s">
        <v>952</v>
      </c>
      <c r="F242" s="2"/>
      <c r="G242" s="2" t="s">
        <v>563</v>
      </c>
      <c r="H242" s="2" t="s">
        <v>953</v>
      </c>
      <c r="I242" s="2" t="s">
        <v>67</v>
      </c>
      <c r="J242" s="3">
        <v>39938</v>
      </c>
      <c r="K242" s="2">
        <v>903</v>
      </c>
      <c r="L242" s="2"/>
      <c r="M242" s="2">
        <v>213</v>
      </c>
      <c r="N242" s="2">
        <v>196</v>
      </c>
      <c r="O242" s="2" t="s">
        <v>6</v>
      </c>
      <c r="P242" s="2" t="s">
        <v>52</v>
      </c>
      <c r="Q242" s="2"/>
      <c r="R242" s="2" t="s">
        <v>53</v>
      </c>
      <c r="S242" s="2">
        <v>8210302201</v>
      </c>
      <c r="T242" s="2" t="s">
        <v>954</v>
      </c>
      <c r="U242" s="2" t="s">
        <v>955</v>
      </c>
      <c r="V242" s="2">
        <v>9950482756</v>
      </c>
      <c r="W242" s="2" t="s">
        <v>956</v>
      </c>
      <c r="X242" s="2">
        <v>36000</v>
      </c>
      <c r="Y242" s="2" t="s">
        <v>55</v>
      </c>
      <c r="Z242" s="2" t="s">
        <v>55</v>
      </c>
      <c r="AA242" s="2" t="s">
        <v>56</v>
      </c>
      <c r="AB242" s="2">
        <v>16</v>
      </c>
      <c r="AC242" s="2" t="s">
        <v>57</v>
      </c>
      <c r="AD242" s="2">
        <v>0</v>
      </c>
    </row>
    <row r="243" spans="1:30" ht="30" x14ac:dyDescent="0.25">
      <c r="A243" s="2">
        <v>9</v>
      </c>
      <c r="B243" s="2" t="s">
        <v>49</v>
      </c>
      <c r="C243" s="2">
        <v>692</v>
      </c>
      <c r="D243" s="3">
        <v>44392</v>
      </c>
      <c r="E243" s="2" t="s">
        <v>957</v>
      </c>
      <c r="F243" s="2"/>
      <c r="G243" s="2" t="s">
        <v>958</v>
      </c>
      <c r="H243" s="2" t="s">
        <v>959</v>
      </c>
      <c r="I243" s="2" t="s">
        <v>51</v>
      </c>
      <c r="J243" s="3">
        <v>40179</v>
      </c>
      <c r="K243" s="2">
        <v>904</v>
      </c>
      <c r="L243" s="2"/>
      <c r="M243" s="2">
        <v>213</v>
      </c>
      <c r="N243" s="2">
        <v>160</v>
      </c>
      <c r="O243" s="2" t="s">
        <v>6</v>
      </c>
      <c r="P243" s="2" t="s">
        <v>52</v>
      </c>
      <c r="Q243" s="2"/>
      <c r="R243" s="2" t="s">
        <v>53</v>
      </c>
      <c r="S243" s="2">
        <v>8210302201</v>
      </c>
      <c r="T243" s="2" t="s">
        <v>960</v>
      </c>
      <c r="U243" s="2"/>
      <c r="V243" s="2">
        <v>7726051917</v>
      </c>
      <c r="W243" s="2" t="s">
        <v>961</v>
      </c>
      <c r="X243" s="2">
        <v>60000</v>
      </c>
      <c r="Y243" s="2" t="s">
        <v>55</v>
      </c>
      <c r="Z243" s="2" t="s">
        <v>55</v>
      </c>
      <c r="AA243" s="2" t="s">
        <v>56</v>
      </c>
      <c r="AB243" s="2">
        <v>15</v>
      </c>
      <c r="AC243" s="2" t="s">
        <v>57</v>
      </c>
      <c r="AD243" s="2">
        <v>3</v>
      </c>
    </row>
    <row r="244" spans="1:30" ht="30" x14ac:dyDescent="0.25">
      <c r="A244" s="2">
        <v>9</v>
      </c>
      <c r="B244" s="2" t="s">
        <v>49</v>
      </c>
      <c r="C244" s="2">
        <v>352</v>
      </c>
      <c r="D244" s="3">
        <v>42557</v>
      </c>
      <c r="E244" s="2" t="s">
        <v>962</v>
      </c>
      <c r="F244" s="2"/>
      <c r="G244" s="2" t="s">
        <v>963</v>
      </c>
      <c r="H244" s="2" t="s">
        <v>964</v>
      </c>
      <c r="I244" s="2" t="s">
        <v>67</v>
      </c>
      <c r="J244" s="3">
        <v>40196</v>
      </c>
      <c r="K244" s="2">
        <v>905</v>
      </c>
      <c r="L244" s="2"/>
      <c r="M244" s="2">
        <v>213</v>
      </c>
      <c r="N244" s="2">
        <v>199</v>
      </c>
      <c r="O244" s="2" t="s">
        <v>6</v>
      </c>
      <c r="P244" s="2" t="s">
        <v>52</v>
      </c>
      <c r="Q244" s="2"/>
      <c r="R244" s="2" t="s">
        <v>53</v>
      </c>
      <c r="S244" s="2">
        <v>8210302201</v>
      </c>
      <c r="T244" s="2" t="s">
        <v>965</v>
      </c>
      <c r="U244" s="2" t="s">
        <v>966</v>
      </c>
      <c r="V244" s="2">
        <v>7023193750</v>
      </c>
      <c r="W244" s="2" t="s">
        <v>967</v>
      </c>
      <c r="X244" s="2">
        <v>60000</v>
      </c>
      <c r="Y244" s="2" t="s">
        <v>55</v>
      </c>
      <c r="Z244" s="2" t="s">
        <v>55</v>
      </c>
      <c r="AA244" s="2" t="s">
        <v>56</v>
      </c>
      <c r="AB244" s="2">
        <v>15</v>
      </c>
      <c r="AC244" s="2" t="s">
        <v>57</v>
      </c>
      <c r="AD244" s="2">
        <v>0</v>
      </c>
    </row>
    <row r="245" spans="1:30" ht="30" x14ac:dyDescent="0.25">
      <c r="A245" s="2">
        <v>9</v>
      </c>
      <c r="B245" s="2" t="s">
        <v>49</v>
      </c>
      <c r="C245" s="2">
        <v>689</v>
      </c>
      <c r="D245" s="3">
        <v>44391</v>
      </c>
      <c r="E245" s="2" t="s">
        <v>968</v>
      </c>
      <c r="F245" s="2"/>
      <c r="G245" s="2" t="s">
        <v>781</v>
      </c>
      <c r="H245" s="2" t="s">
        <v>782</v>
      </c>
      <c r="I245" s="2" t="s">
        <v>67</v>
      </c>
      <c r="J245" s="3">
        <v>40359</v>
      </c>
      <c r="K245" s="2">
        <v>906</v>
      </c>
      <c r="L245" s="2"/>
      <c r="M245" s="2">
        <v>213</v>
      </c>
      <c r="N245" s="2">
        <v>94</v>
      </c>
      <c r="O245" s="2" t="s">
        <v>5</v>
      </c>
      <c r="P245" s="2"/>
      <c r="Q245" s="2"/>
      <c r="R245" s="2" t="s">
        <v>53</v>
      </c>
      <c r="S245" s="2">
        <v>8210302201</v>
      </c>
      <c r="T245" s="2" t="s">
        <v>969</v>
      </c>
      <c r="U245" s="2"/>
      <c r="V245" s="2">
        <v>9660617490</v>
      </c>
      <c r="W245" s="2" t="s">
        <v>970</v>
      </c>
      <c r="X245" s="2">
        <v>48000</v>
      </c>
      <c r="Y245" s="2" t="s">
        <v>55</v>
      </c>
      <c r="Z245" s="2" t="s">
        <v>55</v>
      </c>
      <c r="AA245" s="2"/>
      <c r="AB245" s="2">
        <v>15</v>
      </c>
      <c r="AC245" s="2" t="s">
        <v>57</v>
      </c>
      <c r="AD245" s="2">
        <v>1</v>
      </c>
    </row>
    <row r="246" spans="1:30" ht="30" x14ac:dyDescent="0.25">
      <c r="A246" s="2">
        <v>9</v>
      </c>
      <c r="B246" s="2" t="s">
        <v>49</v>
      </c>
      <c r="C246" s="2">
        <v>777</v>
      </c>
      <c r="D246" s="3">
        <v>44755</v>
      </c>
      <c r="E246" s="2" t="s">
        <v>971</v>
      </c>
      <c r="F246" s="2"/>
      <c r="G246" s="2" t="s">
        <v>972</v>
      </c>
      <c r="H246" s="2" t="s">
        <v>616</v>
      </c>
      <c r="I246" s="2" t="s">
        <v>67</v>
      </c>
      <c r="J246" s="3">
        <v>40004</v>
      </c>
      <c r="K246" s="2">
        <v>907</v>
      </c>
      <c r="L246" s="2"/>
      <c r="M246" s="2">
        <v>213</v>
      </c>
      <c r="N246" s="2">
        <v>149</v>
      </c>
      <c r="O246" s="2" t="s">
        <v>6</v>
      </c>
      <c r="P246" s="2" t="s">
        <v>543</v>
      </c>
      <c r="Q246" s="2"/>
      <c r="R246" s="2" t="s">
        <v>53</v>
      </c>
      <c r="S246" s="2">
        <v>8210302201</v>
      </c>
      <c r="T246" s="2" t="s">
        <v>973</v>
      </c>
      <c r="U246" s="2"/>
      <c r="V246" s="2">
        <v>9166214978</v>
      </c>
      <c r="W246" s="2" t="s">
        <v>974</v>
      </c>
      <c r="X246" s="2">
        <v>60000</v>
      </c>
      <c r="Y246" s="2" t="s">
        <v>55</v>
      </c>
      <c r="Z246" s="2" t="s">
        <v>55</v>
      </c>
      <c r="AA246" s="2" t="s">
        <v>546</v>
      </c>
      <c r="AB246" s="2">
        <v>16</v>
      </c>
      <c r="AC246" s="2" t="s">
        <v>57</v>
      </c>
      <c r="AD246" s="2">
        <v>0</v>
      </c>
    </row>
    <row r="247" spans="1:30" ht="30" x14ac:dyDescent="0.25">
      <c r="A247" s="2">
        <v>9</v>
      </c>
      <c r="B247" s="2" t="s">
        <v>49</v>
      </c>
      <c r="C247" s="2">
        <v>328</v>
      </c>
      <c r="D247" s="3">
        <v>42551</v>
      </c>
      <c r="E247" s="2" t="s">
        <v>624</v>
      </c>
      <c r="F247" s="2"/>
      <c r="G247" s="2" t="s">
        <v>656</v>
      </c>
      <c r="H247" s="2" t="s">
        <v>657</v>
      </c>
      <c r="I247" s="2" t="s">
        <v>67</v>
      </c>
      <c r="J247" s="3">
        <v>40187</v>
      </c>
      <c r="K247" s="2">
        <v>908</v>
      </c>
      <c r="L247" s="2"/>
      <c r="M247" s="2">
        <v>213</v>
      </c>
      <c r="N247" s="2">
        <v>185</v>
      </c>
      <c r="O247" s="2" t="s">
        <v>6</v>
      </c>
      <c r="P247" s="2" t="s">
        <v>52</v>
      </c>
      <c r="Q247" s="2"/>
      <c r="R247" s="2" t="s">
        <v>53</v>
      </c>
      <c r="S247" s="2">
        <v>8210302201</v>
      </c>
      <c r="T247" s="2" t="s">
        <v>975</v>
      </c>
      <c r="U247" s="2" t="s">
        <v>659</v>
      </c>
      <c r="V247" s="2">
        <v>9799271567</v>
      </c>
      <c r="W247" s="2" t="s">
        <v>976</v>
      </c>
      <c r="X247" s="2">
        <v>48000</v>
      </c>
      <c r="Y247" s="2" t="s">
        <v>55</v>
      </c>
      <c r="Z247" s="2" t="s">
        <v>55</v>
      </c>
      <c r="AA247" s="2" t="s">
        <v>56</v>
      </c>
      <c r="AB247" s="2">
        <v>15</v>
      </c>
      <c r="AC247" s="2" t="s">
        <v>57</v>
      </c>
      <c r="AD247" s="2">
        <v>0</v>
      </c>
    </row>
    <row r="248" spans="1:30" ht="30" x14ac:dyDescent="0.25">
      <c r="A248" s="2">
        <v>9</v>
      </c>
      <c r="B248" s="2" t="s">
        <v>49</v>
      </c>
      <c r="C248" s="2">
        <v>686</v>
      </c>
      <c r="D248" s="3">
        <v>44391</v>
      </c>
      <c r="E248" s="2" t="s">
        <v>977</v>
      </c>
      <c r="F248" s="2"/>
      <c r="G248" s="2" t="s">
        <v>978</v>
      </c>
      <c r="H248" s="2" t="s">
        <v>979</v>
      </c>
      <c r="I248" s="2" t="s">
        <v>51</v>
      </c>
      <c r="J248" s="3">
        <v>40306</v>
      </c>
      <c r="K248" s="2">
        <v>909</v>
      </c>
      <c r="L248" s="2"/>
      <c r="M248" s="2">
        <v>213</v>
      </c>
      <c r="N248" s="2">
        <v>61</v>
      </c>
      <c r="O248" s="2" t="s">
        <v>6</v>
      </c>
      <c r="P248" s="2"/>
      <c r="Q248" s="2"/>
      <c r="R248" s="2" t="s">
        <v>53</v>
      </c>
      <c r="S248" s="2">
        <v>8210302201</v>
      </c>
      <c r="T248" s="2" t="s">
        <v>980</v>
      </c>
      <c r="U248" s="2"/>
      <c r="V248" s="2">
        <v>7073084846</v>
      </c>
      <c r="W248" s="2" t="s">
        <v>970</v>
      </c>
      <c r="X248" s="2">
        <v>36000</v>
      </c>
      <c r="Y248" s="2" t="s">
        <v>55</v>
      </c>
      <c r="Z248" s="2" t="s">
        <v>55</v>
      </c>
      <c r="AA248" s="2"/>
      <c r="AB248" s="2">
        <v>15</v>
      </c>
      <c r="AC248" s="2" t="s">
        <v>57</v>
      </c>
      <c r="AD248" s="2">
        <v>1</v>
      </c>
    </row>
    <row r="249" spans="1:30" ht="30" x14ac:dyDescent="0.25">
      <c r="A249" s="2">
        <v>9</v>
      </c>
      <c r="B249" s="2" t="s">
        <v>49</v>
      </c>
      <c r="C249" s="2">
        <v>698</v>
      </c>
      <c r="D249" s="3">
        <v>44397</v>
      </c>
      <c r="E249" s="2" t="s">
        <v>981</v>
      </c>
      <c r="F249" s="2"/>
      <c r="G249" s="2" t="s">
        <v>380</v>
      </c>
      <c r="H249" s="2" t="s">
        <v>381</v>
      </c>
      <c r="I249" s="2" t="s">
        <v>51</v>
      </c>
      <c r="J249" s="3">
        <v>40544</v>
      </c>
      <c r="K249" s="2">
        <v>910</v>
      </c>
      <c r="L249" s="2"/>
      <c r="M249" s="2">
        <v>213</v>
      </c>
      <c r="N249" s="2">
        <v>155</v>
      </c>
      <c r="O249" s="2" t="s">
        <v>6</v>
      </c>
      <c r="P249" s="2" t="s">
        <v>52</v>
      </c>
      <c r="Q249" s="2"/>
      <c r="R249" s="2" t="s">
        <v>53</v>
      </c>
      <c r="S249" s="2">
        <v>8210302201</v>
      </c>
      <c r="T249" s="2" t="s">
        <v>982</v>
      </c>
      <c r="U249" s="2"/>
      <c r="V249" s="2">
        <v>9001202341</v>
      </c>
      <c r="W249" s="2" t="s">
        <v>983</v>
      </c>
      <c r="X249" s="2">
        <v>0</v>
      </c>
      <c r="Y249" s="2" t="s">
        <v>55</v>
      </c>
      <c r="Z249" s="2" t="s">
        <v>55</v>
      </c>
      <c r="AA249" s="2" t="s">
        <v>56</v>
      </c>
      <c r="AB249" s="2">
        <v>14</v>
      </c>
      <c r="AC249" s="2" t="s">
        <v>57</v>
      </c>
      <c r="AD249" s="2">
        <v>3</v>
      </c>
    </row>
    <row r="250" spans="1:30" ht="30" x14ac:dyDescent="0.25">
      <c r="A250" s="2">
        <v>9</v>
      </c>
      <c r="B250" s="2" t="s">
        <v>49</v>
      </c>
      <c r="C250" s="2">
        <v>349</v>
      </c>
      <c r="D250" s="3">
        <v>42556</v>
      </c>
      <c r="E250" s="2" t="s">
        <v>984</v>
      </c>
      <c r="F250" s="2"/>
      <c r="G250" s="2" t="s">
        <v>985</v>
      </c>
      <c r="H250" s="2" t="s">
        <v>986</v>
      </c>
      <c r="I250" s="2" t="s">
        <v>51</v>
      </c>
      <c r="J250" s="3">
        <v>39798</v>
      </c>
      <c r="K250" s="2">
        <v>911</v>
      </c>
      <c r="L250" s="2"/>
      <c r="M250" s="2">
        <v>213</v>
      </c>
      <c r="N250" s="2">
        <v>150</v>
      </c>
      <c r="O250" s="2" t="s">
        <v>4</v>
      </c>
      <c r="P250" s="2" t="s">
        <v>52</v>
      </c>
      <c r="Q250" s="2"/>
      <c r="R250" s="2" t="s">
        <v>53</v>
      </c>
      <c r="S250" s="2">
        <v>8210302201</v>
      </c>
      <c r="T250" s="2" t="s">
        <v>987</v>
      </c>
      <c r="U250" s="2" t="s">
        <v>988</v>
      </c>
      <c r="V250" s="2">
        <v>9829430971</v>
      </c>
      <c r="W250" s="2" t="s">
        <v>967</v>
      </c>
      <c r="X250" s="2">
        <v>60000</v>
      </c>
      <c r="Y250" s="2" t="s">
        <v>55</v>
      </c>
      <c r="Z250" s="2" t="s">
        <v>55</v>
      </c>
      <c r="AA250" s="2" t="s">
        <v>56</v>
      </c>
      <c r="AB250" s="2">
        <v>17</v>
      </c>
      <c r="AC250" s="2" t="s">
        <v>57</v>
      </c>
      <c r="AD250" s="2">
        <v>0</v>
      </c>
    </row>
    <row r="251" spans="1:30" ht="30" x14ac:dyDescent="0.25">
      <c r="A251" s="2">
        <v>9</v>
      </c>
      <c r="B251" s="2" t="s">
        <v>49</v>
      </c>
      <c r="C251" s="2">
        <v>714</v>
      </c>
      <c r="D251" s="3">
        <v>44410</v>
      </c>
      <c r="E251" s="2" t="s">
        <v>989</v>
      </c>
      <c r="F251" s="2"/>
      <c r="G251" s="2" t="s">
        <v>990</v>
      </c>
      <c r="H251" s="2" t="s">
        <v>991</v>
      </c>
      <c r="I251" s="2" t="s">
        <v>67</v>
      </c>
      <c r="J251" s="3">
        <v>39926</v>
      </c>
      <c r="K251" s="2">
        <v>912</v>
      </c>
      <c r="L251" s="2"/>
      <c r="M251" s="2">
        <v>213</v>
      </c>
      <c r="N251" s="2">
        <v>148</v>
      </c>
      <c r="O251" s="2" t="s">
        <v>6</v>
      </c>
      <c r="P251" s="2" t="s">
        <v>52</v>
      </c>
      <c r="Q251" s="2"/>
      <c r="R251" s="2" t="s">
        <v>53</v>
      </c>
      <c r="S251" s="2">
        <v>8210302201</v>
      </c>
      <c r="T251" s="2" t="s">
        <v>992</v>
      </c>
      <c r="U251" s="2"/>
      <c r="V251" s="2">
        <v>7976550858</v>
      </c>
      <c r="W251" s="2" t="s">
        <v>993</v>
      </c>
      <c r="X251" s="2">
        <v>0</v>
      </c>
      <c r="Y251" s="2" t="s">
        <v>55</v>
      </c>
      <c r="Z251" s="2" t="s">
        <v>55</v>
      </c>
      <c r="AA251" s="2" t="s">
        <v>56</v>
      </c>
      <c r="AB251" s="2">
        <v>16</v>
      </c>
      <c r="AC251" s="2" t="s">
        <v>57</v>
      </c>
      <c r="AD251" s="2">
        <v>3</v>
      </c>
    </row>
    <row r="252" spans="1:30" ht="30" x14ac:dyDescent="0.25">
      <c r="A252" s="2">
        <v>9</v>
      </c>
      <c r="B252" s="2" t="s">
        <v>49</v>
      </c>
      <c r="C252" s="2">
        <v>326</v>
      </c>
      <c r="D252" s="3">
        <v>42546</v>
      </c>
      <c r="E252" s="2" t="s">
        <v>994</v>
      </c>
      <c r="F252" s="2"/>
      <c r="G252" s="2" t="s">
        <v>995</v>
      </c>
      <c r="H252" s="2" t="s">
        <v>996</v>
      </c>
      <c r="I252" s="2" t="s">
        <v>51</v>
      </c>
      <c r="J252" s="3">
        <v>40119</v>
      </c>
      <c r="K252" s="2">
        <v>913</v>
      </c>
      <c r="L252" s="2"/>
      <c r="M252" s="2">
        <v>213</v>
      </c>
      <c r="N252" s="2">
        <v>187</v>
      </c>
      <c r="O252" s="2" t="s">
        <v>4</v>
      </c>
      <c r="P252" s="2" t="s">
        <v>52</v>
      </c>
      <c r="Q252" s="2"/>
      <c r="R252" s="2" t="s">
        <v>53</v>
      </c>
      <c r="S252" s="2">
        <v>8210302201</v>
      </c>
      <c r="T252" s="2" t="s">
        <v>997</v>
      </c>
      <c r="U252" s="2" t="s">
        <v>998</v>
      </c>
      <c r="V252" s="2">
        <v>8890861312</v>
      </c>
      <c r="W252" s="2" t="s">
        <v>967</v>
      </c>
      <c r="X252" s="2">
        <v>48000</v>
      </c>
      <c r="Y252" s="2" t="s">
        <v>55</v>
      </c>
      <c r="Z252" s="2" t="s">
        <v>55</v>
      </c>
      <c r="AA252" s="2" t="s">
        <v>56</v>
      </c>
      <c r="AB252" s="2">
        <v>16</v>
      </c>
      <c r="AC252" s="2" t="s">
        <v>57</v>
      </c>
      <c r="AD252" s="2">
        <v>0</v>
      </c>
    </row>
    <row r="253" spans="1:30" ht="30" x14ac:dyDescent="0.25">
      <c r="A253" s="2">
        <v>9</v>
      </c>
      <c r="B253" s="2" t="s">
        <v>49</v>
      </c>
      <c r="C253" s="2">
        <v>361</v>
      </c>
      <c r="D253" s="3">
        <v>42566</v>
      </c>
      <c r="E253" s="2" t="s">
        <v>999</v>
      </c>
      <c r="F253" s="2"/>
      <c r="G253" s="2" t="s">
        <v>1000</v>
      </c>
      <c r="H253" s="2" t="s">
        <v>1001</v>
      </c>
      <c r="I253" s="2" t="s">
        <v>51</v>
      </c>
      <c r="J253" s="3">
        <v>40247</v>
      </c>
      <c r="K253" s="2">
        <v>914</v>
      </c>
      <c r="L253" s="2"/>
      <c r="M253" s="2">
        <v>213</v>
      </c>
      <c r="N253" s="2">
        <v>180</v>
      </c>
      <c r="O253" s="2" t="s">
        <v>6</v>
      </c>
      <c r="P253" s="2" t="s">
        <v>52</v>
      </c>
      <c r="Q253" s="2"/>
      <c r="R253" s="2" t="s">
        <v>53</v>
      </c>
      <c r="S253" s="2">
        <v>8210302201</v>
      </c>
      <c r="T253" s="2" t="s">
        <v>1002</v>
      </c>
      <c r="U253" s="2"/>
      <c r="V253" s="2">
        <v>8890787263</v>
      </c>
      <c r="W253" s="2" t="s">
        <v>967</v>
      </c>
      <c r="X253" s="2">
        <v>40000</v>
      </c>
      <c r="Y253" s="2" t="s">
        <v>55</v>
      </c>
      <c r="Z253" s="2" t="s">
        <v>55</v>
      </c>
      <c r="AA253" s="2" t="s">
        <v>56</v>
      </c>
      <c r="AB253" s="2">
        <v>15</v>
      </c>
      <c r="AC253" s="2" t="s">
        <v>57</v>
      </c>
      <c r="AD253" s="2">
        <v>0</v>
      </c>
    </row>
    <row r="254" spans="1:30" ht="30" x14ac:dyDescent="0.25">
      <c r="A254" s="2">
        <v>9</v>
      </c>
      <c r="B254" s="2" t="s">
        <v>49</v>
      </c>
      <c r="C254" s="2">
        <v>517</v>
      </c>
      <c r="D254" s="3">
        <v>43295</v>
      </c>
      <c r="E254" s="2" t="s">
        <v>506</v>
      </c>
      <c r="F254" s="2"/>
      <c r="G254" s="2" t="s">
        <v>1003</v>
      </c>
      <c r="H254" s="2" t="s">
        <v>1004</v>
      </c>
      <c r="I254" s="2" t="s">
        <v>67</v>
      </c>
      <c r="J254" s="3">
        <v>40247</v>
      </c>
      <c r="K254" s="2">
        <v>916</v>
      </c>
      <c r="L254" s="2"/>
      <c r="M254" s="2">
        <v>213</v>
      </c>
      <c r="N254" s="2">
        <v>186</v>
      </c>
      <c r="O254" s="2" t="s">
        <v>6</v>
      </c>
      <c r="P254" s="2" t="s">
        <v>52</v>
      </c>
      <c r="Q254" s="2"/>
      <c r="R254" s="2" t="s">
        <v>53</v>
      </c>
      <c r="S254" s="2">
        <v>8210302201</v>
      </c>
      <c r="T254" s="2" t="s">
        <v>1005</v>
      </c>
      <c r="U254" s="2" t="s">
        <v>1006</v>
      </c>
      <c r="V254" s="2">
        <v>9680679728</v>
      </c>
      <c r="W254" s="2" t="s">
        <v>472</v>
      </c>
      <c r="X254" s="2">
        <v>60000</v>
      </c>
      <c r="Y254" s="2" t="s">
        <v>55</v>
      </c>
      <c r="Z254" s="2" t="s">
        <v>55</v>
      </c>
      <c r="AA254" s="2" t="s">
        <v>56</v>
      </c>
      <c r="AB254" s="2">
        <v>15</v>
      </c>
      <c r="AC254" s="2" t="s">
        <v>57</v>
      </c>
      <c r="AD254" s="2">
        <v>0</v>
      </c>
    </row>
    <row r="255" spans="1:30" ht="30" x14ac:dyDescent="0.25">
      <c r="A255" s="2">
        <v>9</v>
      </c>
      <c r="B255" s="2" t="s">
        <v>49</v>
      </c>
      <c r="C255" s="2">
        <v>343</v>
      </c>
      <c r="D255" s="3">
        <v>42555</v>
      </c>
      <c r="E255" s="2" t="s">
        <v>506</v>
      </c>
      <c r="F255" s="2"/>
      <c r="G255" s="2" t="s">
        <v>1007</v>
      </c>
      <c r="H255" s="2" t="s">
        <v>1008</v>
      </c>
      <c r="I255" s="2" t="s">
        <v>67</v>
      </c>
      <c r="J255" s="3">
        <v>39661</v>
      </c>
      <c r="K255" s="2">
        <v>915</v>
      </c>
      <c r="L255" s="2"/>
      <c r="M255" s="2">
        <v>213</v>
      </c>
      <c r="N255" s="2">
        <v>174</v>
      </c>
      <c r="O255" s="2" t="s">
        <v>6</v>
      </c>
      <c r="P255" s="2" t="s">
        <v>52</v>
      </c>
      <c r="Q255" s="2"/>
      <c r="R255" s="2" t="s">
        <v>53</v>
      </c>
      <c r="S255" s="2">
        <v>8210302201</v>
      </c>
      <c r="T255" s="2" t="s">
        <v>1009</v>
      </c>
      <c r="U255" s="2" t="s">
        <v>1010</v>
      </c>
      <c r="V255" s="2">
        <v>9660630181</v>
      </c>
      <c r="W255" s="2" t="s">
        <v>967</v>
      </c>
      <c r="X255" s="2">
        <v>40000</v>
      </c>
      <c r="Y255" s="2" t="s">
        <v>55</v>
      </c>
      <c r="Z255" s="2" t="s">
        <v>55</v>
      </c>
      <c r="AA255" s="2" t="s">
        <v>56</v>
      </c>
      <c r="AB255" s="2">
        <v>17</v>
      </c>
      <c r="AC255" s="2" t="s">
        <v>57</v>
      </c>
      <c r="AD255" s="2">
        <v>0</v>
      </c>
    </row>
    <row r="256" spans="1:30" ht="30" x14ac:dyDescent="0.25">
      <c r="A256" s="2">
        <v>9</v>
      </c>
      <c r="B256" s="2" t="s">
        <v>49</v>
      </c>
      <c r="C256" s="2">
        <v>741</v>
      </c>
      <c r="D256" s="3">
        <v>44468</v>
      </c>
      <c r="E256" s="2" t="s">
        <v>1011</v>
      </c>
      <c r="F256" s="2"/>
      <c r="G256" s="2" t="s">
        <v>517</v>
      </c>
      <c r="H256" s="2" t="s">
        <v>518</v>
      </c>
      <c r="I256" s="2" t="s">
        <v>51</v>
      </c>
      <c r="J256" s="3">
        <v>40628</v>
      </c>
      <c r="K256" s="2">
        <v>917</v>
      </c>
      <c r="L256" s="2"/>
      <c r="M256" s="2">
        <v>213</v>
      </c>
      <c r="N256" s="2">
        <v>156</v>
      </c>
      <c r="O256" s="2" t="s">
        <v>6</v>
      </c>
      <c r="P256" s="2" t="s">
        <v>52</v>
      </c>
      <c r="Q256" s="2"/>
      <c r="R256" s="2" t="s">
        <v>53</v>
      </c>
      <c r="S256" s="2">
        <v>8210302201</v>
      </c>
      <c r="T256" s="2" t="s">
        <v>1012</v>
      </c>
      <c r="U256" s="2"/>
      <c r="V256" s="2">
        <v>6376292859</v>
      </c>
      <c r="W256" s="2" t="s">
        <v>383</v>
      </c>
      <c r="X256" s="2">
        <v>50000</v>
      </c>
      <c r="Y256" s="2" t="s">
        <v>55</v>
      </c>
      <c r="Z256" s="2" t="s">
        <v>55</v>
      </c>
      <c r="AA256" s="2" t="s">
        <v>56</v>
      </c>
      <c r="AB256" s="2">
        <v>14</v>
      </c>
      <c r="AC256" s="2" t="s">
        <v>57</v>
      </c>
      <c r="AD256" s="2">
        <v>3</v>
      </c>
    </row>
    <row r="257" spans="1:30" ht="30" x14ac:dyDescent="0.25">
      <c r="A257" s="2">
        <v>9</v>
      </c>
      <c r="B257" s="2" t="s">
        <v>49</v>
      </c>
      <c r="C257" s="2">
        <v>505</v>
      </c>
      <c r="D257" s="3">
        <v>43292</v>
      </c>
      <c r="E257" s="2" t="s">
        <v>1013</v>
      </c>
      <c r="F257" s="2"/>
      <c r="G257" s="2" t="s">
        <v>708</v>
      </c>
      <c r="H257" s="2" t="s">
        <v>690</v>
      </c>
      <c r="I257" s="2" t="s">
        <v>51</v>
      </c>
      <c r="J257" s="3">
        <v>40464</v>
      </c>
      <c r="K257" s="2">
        <v>918</v>
      </c>
      <c r="L257" s="2"/>
      <c r="M257" s="2">
        <v>213</v>
      </c>
      <c r="N257" s="2">
        <v>191</v>
      </c>
      <c r="O257" s="2" t="s">
        <v>6</v>
      </c>
      <c r="P257" s="2" t="s">
        <v>52</v>
      </c>
      <c r="Q257" s="2"/>
      <c r="R257" s="2" t="s">
        <v>53</v>
      </c>
      <c r="S257" s="2">
        <v>8210302201</v>
      </c>
      <c r="T257" s="2" t="s">
        <v>1014</v>
      </c>
      <c r="U257" s="2" t="s">
        <v>710</v>
      </c>
      <c r="V257" s="2">
        <v>9829798229</v>
      </c>
      <c r="W257" s="2" t="s">
        <v>472</v>
      </c>
      <c r="X257" s="2">
        <v>60000</v>
      </c>
      <c r="Y257" s="2" t="s">
        <v>55</v>
      </c>
      <c r="Z257" s="2" t="s">
        <v>55</v>
      </c>
      <c r="AA257" s="2" t="s">
        <v>56</v>
      </c>
      <c r="AB257" s="2">
        <v>15</v>
      </c>
      <c r="AC257" s="2" t="s">
        <v>57</v>
      </c>
      <c r="AD257" s="2">
        <v>1</v>
      </c>
    </row>
    <row r="258" spans="1:30" ht="30" x14ac:dyDescent="0.25">
      <c r="A258" s="2">
        <v>9</v>
      </c>
      <c r="B258" s="2" t="s">
        <v>49</v>
      </c>
      <c r="C258" s="2">
        <v>911</v>
      </c>
      <c r="D258" s="3">
        <v>45504</v>
      </c>
      <c r="E258" s="2" t="s">
        <v>1015</v>
      </c>
      <c r="F258" s="2"/>
      <c r="G258" s="2" t="s">
        <v>1016</v>
      </c>
      <c r="H258" s="2" t="s">
        <v>690</v>
      </c>
      <c r="I258" s="2" t="s">
        <v>51</v>
      </c>
      <c r="J258" s="3">
        <v>40791</v>
      </c>
      <c r="K258" s="2">
        <v>919</v>
      </c>
      <c r="L258" s="2"/>
      <c r="M258" s="2">
        <v>213</v>
      </c>
      <c r="N258" s="2">
        <v>122</v>
      </c>
      <c r="O258" s="2" t="s">
        <v>6</v>
      </c>
      <c r="P258" s="2"/>
      <c r="Q258" s="2"/>
      <c r="R258" s="2" t="s">
        <v>53</v>
      </c>
      <c r="S258" s="2">
        <v>8210302201</v>
      </c>
      <c r="T258" s="2" t="s">
        <v>1017</v>
      </c>
      <c r="U258" s="2"/>
      <c r="V258" s="2">
        <v>9784074427</v>
      </c>
      <c r="W258" s="2" t="s">
        <v>884</v>
      </c>
      <c r="X258" s="2">
        <v>45000</v>
      </c>
      <c r="Y258" s="2" t="s">
        <v>55</v>
      </c>
      <c r="Z258" s="2" t="s">
        <v>55</v>
      </c>
      <c r="AA258" s="2"/>
      <c r="AB258" s="2">
        <v>14</v>
      </c>
      <c r="AC258" s="2" t="s">
        <v>57</v>
      </c>
      <c r="AD258" s="2">
        <v>0</v>
      </c>
    </row>
    <row r="259" spans="1:30" ht="30" x14ac:dyDescent="0.25">
      <c r="A259" s="2">
        <v>9</v>
      </c>
      <c r="B259" s="2" t="s">
        <v>49</v>
      </c>
      <c r="C259" s="2">
        <v>522</v>
      </c>
      <c r="D259" s="3">
        <v>43297</v>
      </c>
      <c r="E259" s="2" t="s">
        <v>1018</v>
      </c>
      <c r="F259" s="2"/>
      <c r="G259" s="2" t="s">
        <v>1019</v>
      </c>
      <c r="H259" s="2" t="s">
        <v>1020</v>
      </c>
      <c r="I259" s="2" t="s">
        <v>51</v>
      </c>
      <c r="J259" s="3">
        <v>40339</v>
      </c>
      <c r="K259" s="2">
        <v>920</v>
      </c>
      <c r="L259" s="2"/>
      <c r="M259" s="2">
        <v>213</v>
      </c>
      <c r="N259" s="2">
        <v>157</v>
      </c>
      <c r="O259" s="2" t="s">
        <v>6</v>
      </c>
      <c r="P259" s="2" t="s">
        <v>52</v>
      </c>
      <c r="Q259" s="2"/>
      <c r="R259" s="2" t="s">
        <v>53</v>
      </c>
      <c r="S259" s="2">
        <v>8210302201</v>
      </c>
      <c r="T259" s="2" t="s">
        <v>1021</v>
      </c>
      <c r="U259" s="2" t="s">
        <v>1022</v>
      </c>
      <c r="V259" s="2">
        <v>9001211239</v>
      </c>
      <c r="W259" s="2" t="s">
        <v>1023</v>
      </c>
      <c r="X259" s="2">
        <v>60000</v>
      </c>
      <c r="Y259" s="2" t="s">
        <v>55</v>
      </c>
      <c r="Z259" s="2" t="s">
        <v>55</v>
      </c>
      <c r="AA259" s="2" t="s">
        <v>56</v>
      </c>
      <c r="AB259" s="2">
        <v>15</v>
      </c>
      <c r="AC259" s="2" t="s">
        <v>57</v>
      </c>
      <c r="AD259" s="2">
        <v>3</v>
      </c>
    </row>
    <row r="260" spans="1:30" ht="30" x14ac:dyDescent="0.25">
      <c r="A260" s="2">
        <v>9</v>
      </c>
      <c r="B260" s="2" t="s">
        <v>49</v>
      </c>
      <c r="C260" s="2">
        <v>904</v>
      </c>
      <c r="D260" s="3">
        <v>45492</v>
      </c>
      <c r="E260" s="2" t="s">
        <v>1024</v>
      </c>
      <c r="F260" s="2"/>
      <c r="G260" s="2" t="s">
        <v>1025</v>
      </c>
      <c r="H260" s="2" t="s">
        <v>1026</v>
      </c>
      <c r="I260" s="2" t="s">
        <v>51</v>
      </c>
      <c r="J260" s="3">
        <v>39986</v>
      </c>
      <c r="K260" s="2">
        <v>921</v>
      </c>
      <c r="L260" s="2"/>
      <c r="M260" s="2">
        <v>213</v>
      </c>
      <c r="N260" s="2">
        <v>167</v>
      </c>
      <c r="O260" s="2" t="s">
        <v>6</v>
      </c>
      <c r="P260" s="2" t="s">
        <v>52</v>
      </c>
      <c r="Q260" s="2"/>
      <c r="R260" s="2" t="s">
        <v>53</v>
      </c>
      <c r="S260" s="2">
        <v>8210302201</v>
      </c>
      <c r="T260" s="2" t="s">
        <v>1027</v>
      </c>
      <c r="U260" s="2"/>
      <c r="V260" s="2">
        <v>8829021302</v>
      </c>
      <c r="W260" s="2" t="s">
        <v>1028</v>
      </c>
      <c r="X260" s="2">
        <v>72000</v>
      </c>
      <c r="Y260" s="2" t="s">
        <v>55</v>
      </c>
      <c r="Z260" s="2" t="s">
        <v>55</v>
      </c>
      <c r="AA260" s="2" t="s">
        <v>56</v>
      </c>
      <c r="AB260" s="2">
        <v>16</v>
      </c>
      <c r="AC260" s="2" t="s">
        <v>57</v>
      </c>
      <c r="AD260" s="2">
        <v>0</v>
      </c>
    </row>
    <row r="261" spans="1:30" ht="30" x14ac:dyDescent="0.25">
      <c r="A261" s="2">
        <v>9</v>
      </c>
      <c r="B261" s="2" t="s">
        <v>49</v>
      </c>
      <c r="C261" s="2">
        <v>390</v>
      </c>
      <c r="D261" s="3">
        <v>42917</v>
      </c>
      <c r="E261" s="2" t="s">
        <v>1029</v>
      </c>
      <c r="F261" s="2"/>
      <c r="G261" s="2" t="s">
        <v>1030</v>
      </c>
      <c r="H261" s="2" t="s">
        <v>839</v>
      </c>
      <c r="I261" s="2" t="s">
        <v>51</v>
      </c>
      <c r="J261" s="3">
        <v>40425</v>
      </c>
      <c r="K261" s="2">
        <v>922</v>
      </c>
      <c r="L261" s="2"/>
      <c r="M261" s="2">
        <v>213</v>
      </c>
      <c r="N261" s="2">
        <v>175</v>
      </c>
      <c r="O261" s="2" t="s">
        <v>6</v>
      </c>
      <c r="P261" s="2" t="s">
        <v>52</v>
      </c>
      <c r="Q261" s="2"/>
      <c r="R261" s="2" t="s">
        <v>53</v>
      </c>
      <c r="S261" s="2">
        <v>8210302201</v>
      </c>
      <c r="T261" s="2" t="s">
        <v>1031</v>
      </c>
      <c r="U261" s="2" t="s">
        <v>639</v>
      </c>
      <c r="V261" s="2">
        <v>8529542482</v>
      </c>
      <c r="W261" s="2" t="s">
        <v>1032</v>
      </c>
      <c r="X261" s="2">
        <v>60000</v>
      </c>
      <c r="Y261" s="2" t="s">
        <v>55</v>
      </c>
      <c r="Z261" s="2" t="s">
        <v>55</v>
      </c>
      <c r="AA261" s="2" t="s">
        <v>56</v>
      </c>
      <c r="AB261" s="2">
        <v>15</v>
      </c>
      <c r="AC261" s="2" t="s">
        <v>57</v>
      </c>
      <c r="AD261" s="2">
        <v>0</v>
      </c>
    </row>
    <row r="262" spans="1:30" ht="30" x14ac:dyDescent="0.25">
      <c r="A262" s="2">
        <v>9</v>
      </c>
      <c r="B262" s="2" t="s">
        <v>49</v>
      </c>
      <c r="C262" s="2">
        <v>687</v>
      </c>
      <c r="D262" s="3">
        <v>44391</v>
      </c>
      <c r="E262" s="2" t="s">
        <v>1033</v>
      </c>
      <c r="F262" s="2"/>
      <c r="G262" s="2" t="s">
        <v>1034</v>
      </c>
      <c r="H262" s="2" t="s">
        <v>643</v>
      </c>
      <c r="I262" s="2" t="s">
        <v>51</v>
      </c>
      <c r="J262" s="3">
        <v>40110</v>
      </c>
      <c r="K262" s="2">
        <v>923</v>
      </c>
      <c r="L262" s="2"/>
      <c r="M262" s="2">
        <v>213</v>
      </c>
      <c r="N262" s="2">
        <v>144</v>
      </c>
      <c r="O262" s="2" t="s">
        <v>4</v>
      </c>
      <c r="P262" s="2"/>
      <c r="Q262" s="2"/>
      <c r="R262" s="2" t="s">
        <v>53</v>
      </c>
      <c r="S262" s="2">
        <v>8210302201</v>
      </c>
      <c r="T262" s="2" t="s">
        <v>1035</v>
      </c>
      <c r="U262" s="2"/>
      <c r="V262" s="2">
        <v>9660524371</v>
      </c>
      <c r="W262" s="2" t="s">
        <v>970</v>
      </c>
      <c r="X262" s="2">
        <v>48000</v>
      </c>
      <c r="Y262" s="2" t="s">
        <v>55</v>
      </c>
      <c r="Z262" s="2" t="s">
        <v>55</v>
      </c>
      <c r="AA262" s="2"/>
      <c r="AB262" s="2">
        <v>16</v>
      </c>
      <c r="AC262" s="2" t="s">
        <v>57</v>
      </c>
      <c r="AD262" s="2">
        <v>1</v>
      </c>
    </row>
    <row r="263" spans="1:30" ht="30" x14ac:dyDescent="0.25">
      <c r="A263" s="2">
        <v>9</v>
      </c>
      <c r="B263" s="2" t="s">
        <v>49</v>
      </c>
      <c r="C263" s="2">
        <v>329</v>
      </c>
      <c r="D263" s="3">
        <v>42552</v>
      </c>
      <c r="E263" s="2" t="s">
        <v>1036</v>
      </c>
      <c r="F263" s="2"/>
      <c r="G263" s="2" t="s">
        <v>624</v>
      </c>
      <c r="H263" s="2" t="s">
        <v>625</v>
      </c>
      <c r="I263" s="2" t="s">
        <v>51</v>
      </c>
      <c r="J263" s="3">
        <v>40027</v>
      </c>
      <c r="K263" s="2">
        <v>924</v>
      </c>
      <c r="L263" s="2"/>
      <c r="M263" s="2">
        <v>213</v>
      </c>
      <c r="N263" s="2">
        <v>192</v>
      </c>
      <c r="O263" s="2" t="s">
        <v>6</v>
      </c>
      <c r="P263" s="2" t="s">
        <v>52</v>
      </c>
      <c r="Q263" s="2"/>
      <c r="R263" s="2" t="s">
        <v>53</v>
      </c>
      <c r="S263" s="2">
        <v>8210302201</v>
      </c>
      <c r="T263" s="2" t="s">
        <v>1037</v>
      </c>
      <c r="U263" s="2" t="s">
        <v>627</v>
      </c>
      <c r="V263" s="2">
        <v>9829385543</v>
      </c>
      <c r="W263" s="2" t="s">
        <v>967</v>
      </c>
      <c r="X263" s="2">
        <v>48000</v>
      </c>
      <c r="Y263" s="2" t="s">
        <v>55</v>
      </c>
      <c r="Z263" s="2" t="s">
        <v>55</v>
      </c>
      <c r="AA263" s="2" t="s">
        <v>56</v>
      </c>
      <c r="AB263" s="2">
        <v>16</v>
      </c>
      <c r="AC263" s="2" t="s">
        <v>57</v>
      </c>
      <c r="AD263" s="2">
        <v>0</v>
      </c>
    </row>
    <row r="264" spans="1:30" ht="30" x14ac:dyDescent="0.25">
      <c r="A264" s="2">
        <v>9</v>
      </c>
      <c r="B264" s="2" t="s">
        <v>49</v>
      </c>
      <c r="C264" s="2">
        <v>913</v>
      </c>
      <c r="D264" s="3">
        <v>45504</v>
      </c>
      <c r="E264" s="2" t="s">
        <v>1038</v>
      </c>
      <c r="F264" s="2"/>
      <c r="G264" s="2" t="s">
        <v>1039</v>
      </c>
      <c r="H264" s="2" t="s">
        <v>625</v>
      </c>
      <c r="I264" s="2" t="s">
        <v>67</v>
      </c>
      <c r="J264" s="3">
        <v>39665</v>
      </c>
      <c r="K264" s="2">
        <v>925</v>
      </c>
      <c r="L264" s="2"/>
      <c r="M264" s="2">
        <v>213</v>
      </c>
      <c r="N264" s="2">
        <v>122</v>
      </c>
      <c r="O264" s="2" t="s">
        <v>5</v>
      </c>
      <c r="P264" s="2"/>
      <c r="Q264" s="2"/>
      <c r="R264" s="2" t="s">
        <v>53</v>
      </c>
      <c r="S264" s="2">
        <v>8210302201</v>
      </c>
      <c r="T264" s="2" t="s">
        <v>1040</v>
      </c>
      <c r="U264" s="2" t="s">
        <v>1041</v>
      </c>
      <c r="V264" s="2">
        <v>9950446246</v>
      </c>
      <c r="W264" s="2" t="s">
        <v>1042</v>
      </c>
      <c r="X264" s="2">
        <v>45000</v>
      </c>
      <c r="Y264" s="2" t="s">
        <v>55</v>
      </c>
      <c r="Z264" s="2" t="s">
        <v>55</v>
      </c>
      <c r="AA264" s="2"/>
      <c r="AB264" s="2">
        <v>17</v>
      </c>
      <c r="AC264" s="2" t="s">
        <v>57</v>
      </c>
      <c r="AD264" s="2">
        <v>0</v>
      </c>
    </row>
    <row r="265" spans="1:30" ht="30" x14ac:dyDescent="0.25">
      <c r="A265" s="2">
        <v>9</v>
      </c>
      <c r="B265" s="2" t="s">
        <v>49</v>
      </c>
      <c r="C265" s="2">
        <v>856</v>
      </c>
      <c r="D265" s="3">
        <v>45140</v>
      </c>
      <c r="E265" s="2" t="s">
        <v>594</v>
      </c>
      <c r="F265" s="2"/>
      <c r="G265" s="2" t="s">
        <v>1043</v>
      </c>
      <c r="H265" s="2" t="s">
        <v>439</v>
      </c>
      <c r="I265" s="2" t="s">
        <v>67</v>
      </c>
      <c r="J265" s="3">
        <v>40195</v>
      </c>
      <c r="K265" s="2">
        <v>926</v>
      </c>
      <c r="L265" s="2"/>
      <c r="M265" s="2">
        <v>213</v>
      </c>
      <c r="N265" s="2">
        <v>140</v>
      </c>
      <c r="O265" s="2" t="s">
        <v>6</v>
      </c>
      <c r="P265" s="2" t="s">
        <v>52</v>
      </c>
      <c r="Q265" s="2"/>
      <c r="R265" s="2" t="s">
        <v>53</v>
      </c>
      <c r="S265" s="2">
        <v>8210302201</v>
      </c>
      <c r="T265" s="2" t="s">
        <v>1044</v>
      </c>
      <c r="U265" s="2"/>
      <c r="V265" s="2">
        <v>9888888888</v>
      </c>
      <c r="W265" s="2" t="s">
        <v>1045</v>
      </c>
      <c r="X265" s="2">
        <v>0</v>
      </c>
      <c r="Y265" s="2" t="s">
        <v>55</v>
      </c>
      <c r="Z265" s="2" t="s">
        <v>55</v>
      </c>
      <c r="AA265" s="2" t="s">
        <v>56</v>
      </c>
      <c r="AB265" s="2">
        <v>15</v>
      </c>
      <c r="AC265" s="2" t="s">
        <v>57</v>
      </c>
      <c r="AD265" s="2">
        <v>0</v>
      </c>
    </row>
    <row r="266" spans="1:30" ht="30" x14ac:dyDescent="0.25">
      <c r="A266" s="2">
        <v>9</v>
      </c>
      <c r="B266" s="2" t="s">
        <v>49</v>
      </c>
      <c r="C266" s="2">
        <v>325</v>
      </c>
      <c r="D266" s="3">
        <v>42499</v>
      </c>
      <c r="E266" s="2" t="s">
        <v>1046</v>
      </c>
      <c r="F266" s="2"/>
      <c r="G266" s="2" t="s">
        <v>1047</v>
      </c>
      <c r="H266" s="2" t="s">
        <v>592</v>
      </c>
      <c r="I266" s="2" t="s">
        <v>67</v>
      </c>
      <c r="J266" s="3">
        <v>40296</v>
      </c>
      <c r="K266" s="2">
        <v>927</v>
      </c>
      <c r="L266" s="2"/>
      <c r="M266" s="2">
        <v>213</v>
      </c>
      <c r="N266" s="2">
        <v>186</v>
      </c>
      <c r="O266" s="2" t="s">
        <v>6</v>
      </c>
      <c r="P266" s="2" t="s">
        <v>52</v>
      </c>
      <c r="Q266" s="2"/>
      <c r="R266" s="2" t="s">
        <v>53</v>
      </c>
      <c r="S266" s="2">
        <v>8210302201</v>
      </c>
      <c r="T266" s="2" t="s">
        <v>1048</v>
      </c>
      <c r="U266" s="2" t="s">
        <v>1049</v>
      </c>
      <c r="V266" s="2">
        <v>8290250567</v>
      </c>
      <c r="W266" s="2" t="s">
        <v>967</v>
      </c>
      <c r="X266" s="2">
        <v>48000</v>
      </c>
      <c r="Y266" s="2" t="s">
        <v>55</v>
      </c>
      <c r="Z266" s="2" t="s">
        <v>55</v>
      </c>
      <c r="AA266" s="2" t="s">
        <v>56</v>
      </c>
      <c r="AB266" s="2">
        <v>15</v>
      </c>
      <c r="AC266" s="2" t="s">
        <v>57</v>
      </c>
      <c r="AD266" s="2">
        <v>0</v>
      </c>
    </row>
    <row r="267" spans="1:30" ht="30" x14ac:dyDescent="0.25">
      <c r="A267" s="2">
        <v>9</v>
      </c>
      <c r="B267" s="2" t="s">
        <v>49</v>
      </c>
      <c r="C267" s="2">
        <v>742</v>
      </c>
      <c r="D267" s="3">
        <v>44468</v>
      </c>
      <c r="E267" s="2" t="s">
        <v>1050</v>
      </c>
      <c r="F267" s="2"/>
      <c r="G267" s="2" t="s">
        <v>1051</v>
      </c>
      <c r="H267" s="2" t="s">
        <v>657</v>
      </c>
      <c r="I267" s="2" t="s">
        <v>51</v>
      </c>
      <c r="J267" s="3">
        <v>40278</v>
      </c>
      <c r="K267" s="2">
        <v>928</v>
      </c>
      <c r="L267" s="2"/>
      <c r="M267" s="2">
        <v>213</v>
      </c>
      <c r="N267" s="2">
        <v>141</v>
      </c>
      <c r="O267" s="2" t="s">
        <v>6</v>
      </c>
      <c r="P267" s="2" t="s">
        <v>52</v>
      </c>
      <c r="Q267" s="2"/>
      <c r="R267" s="2" t="s">
        <v>53</v>
      </c>
      <c r="S267" s="2">
        <v>8210302201</v>
      </c>
      <c r="T267" s="2" t="s">
        <v>1052</v>
      </c>
      <c r="U267" s="2"/>
      <c r="V267" s="2">
        <v>7339912713</v>
      </c>
      <c r="W267" s="2" t="s">
        <v>1053</v>
      </c>
      <c r="X267" s="2">
        <v>45000</v>
      </c>
      <c r="Y267" s="2" t="s">
        <v>55</v>
      </c>
      <c r="Z267" s="2" t="s">
        <v>55</v>
      </c>
      <c r="AA267" s="2" t="s">
        <v>56</v>
      </c>
      <c r="AB267" s="2">
        <v>15</v>
      </c>
      <c r="AC267" s="2" t="s">
        <v>57</v>
      </c>
      <c r="AD267" s="2">
        <v>1</v>
      </c>
    </row>
    <row r="268" spans="1:30" ht="30" x14ac:dyDescent="0.25">
      <c r="A268" s="2">
        <v>9</v>
      </c>
      <c r="B268" s="2" t="s">
        <v>49</v>
      </c>
      <c r="C268" s="2">
        <v>523</v>
      </c>
      <c r="D268" s="3">
        <v>43306</v>
      </c>
      <c r="E268" s="2" t="s">
        <v>1054</v>
      </c>
      <c r="F268" s="2"/>
      <c r="G268" s="2" t="s">
        <v>912</v>
      </c>
      <c r="H268" s="2" t="s">
        <v>1055</v>
      </c>
      <c r="I268" s="2" t="s">
        <v>51</v>
      </c>
      <c r="J268" s="3">
        <v>41031</v>
      </c>
      <c r="K268" s="2">
        <v>929</v>
      </c>
      <c r="L268" s="2"/>
      <c r="M268" s="2">
        <v>213</v>
      </c>
      <c r="N268" s="2">
        <v>178</v>
      </c>
      <c r="O268" s="2" t="s">
        <v>6</v>
      </c>
      <c r="P268" s="2" t="s">
        <v>52</v>
      </c>
      <c r="Q268" s="2"/>
      <c r="R268" s="2" t="s">
        <v>53</v>
      </c>
      <c r="S268" s="2">
        <v>8210302201</v>
      </c>
      <c r="T268" s="2" t="s">
        <v>1056</v>
      </c>
      <c r="U268" s="2" t="s">
        <v>1057</v>
      </c>
      <c r="V268" s="2">
        <v>9929463419</v>
      </c>
      <c r="W268" s="2" t="s">
        <v>472</v>
      </c>
      <c r="X268" s="2">
        <v>60000</v>
      </c>
      <c r="Y268" s="2" t="s">
        <v>55</v>
      </c>
      <c r="Z268" s="2" t="s">
        <v>55</v>
      </c>
      <c r="AA268" s="2" t="s">
        <v>56</v>
      </c>
      <c r="AB268" s="2">
        <v>13</v>
      </c>
      <c r="AC268" s="2" t="s">
        <v>57</v>
      </c>
      <c r="AD268" s="2">
        <v>3</v>
      </c>
    </row>
    <row r="269" spans="1:30" ht="30" x14ac:dyDescent="0.25">
      <c r="A269" s="2">
        <v>9</v>
      </c>
      <c r="B269" s="2" t="s">
        <v>49</v>
      </c>
      <c r="C269" s="2">
        <v>697</v>
      </c>
      <c r="D269" s="3">
        <v>44397</v>
      </c>
      <c r="E269" s="2" t="s">
        <v>1058</v>
      </c>
      <c r="F269" s="2"/>
      <c r="G269" s="2" t="s">
        <v>1059</v>
      </c>
      <c r="H269" s="2" t="s">
        <v>1060</v>
      </c>
      <c r="I269" s="2" t="s">
        <v>67</v>
      </c>
      <c r="J269" s="3">
        <v>39666</v>
      </c>
      <c r="K269" s="2">
        <v>930</v>
      </c>
      <c r="L269" s="2"/>
      <c r="M269" s="2">
        <v>213</v>
      </c>
      <c r="N269" s="2">
        <v>155</v>
      </c>
      <c r="O269" s="2" t="s">
        <v>6</v>
      </c>
      <c r="P269" s="2" t="s">
        <v>52</v>
      </c>
      <c r="Q269" s="2"/>
      <c r="R269" s="2" t="s">
        <v>53</v>
      </c>
      <c r="S269" s="2">
        <v>8210302201</v>
      </c>
      <c r="T269" s="2" t="s">
        <v>1061</v>
      </c>
      <c r="U269" s="2"/>
      <c r="V269" s="2">
        <v>6367778732</v>
      </c>
      <c r="W269" s="2" t="s">
        <v>1062</v>
      </c>
      <c r="X269" s="2">
        <v>50000</v>
      </c>
      <c r="Y269" s="2" t="s">
        <v>55</v>
      </c>
      <c r="Z269" s="2" t="s">
        <v>55</v>
      </c>
      <c r="AA269" s="2" t="s">
        <v>56</v>
      </c>
      <c r="AB269" s="2">
        <v>17</v>
      </c>
      <c r="AC269" s="2" t="s">
        <v>57</v>
      </c>
      <c r="AD269" s="2">
        <v>3</v>
      </c>
    </row>
    <row r="270" spans="1:30" ht="30" x14ac:dyDescent="0.25">
      <c r="A270" s="2">
        <v>9</v>
      </c>
      <c r="B270" s="2" t="s">
        <v>49</v>
      </c>
      <c r="C270" s="2">
        <v>896</v>
      </c>
      <c r="D270" s="3">
        <v>45489</v>
      </c>
      <c r="E270" s="2" t="s">
        <v>1063</v>
      </c>
      <c r="F270" s="2"/>
      <c r="G270" s="2" t="s">
        <v>1064</v>
      </c>
      <c r="H270" s="2" t="s">
        <v>766</v>
      </c>
      <c r="I270" s="2" t="s">
        <v>51</v>
      </c>
      <c r="J270" s="3">
        <v>40201</v>
      </c>
      <c r="K270" s="2">
        <v>931</v>
      </c>
      <c r="L270" s="2"/>
      <c r="M270" s="2">
        <v>213</v>
      </c>
      <c r="N270" s="2">
        <v>151</v>
      </c>
      <c r="O270" s="2" t="s">
        <v>5</v>
      </c>
      <c r="P270" s="2"/>
      <c r="Q270" s="2"/>
      <c r="R270" s="2" t="s">
        <v>53</v>
      </c>
      <c r="S270" s="2">
        <v>8210302201</v>
      </c>
      <c r="T270" s="2" t="s">
        <v>593</v>
      </c>
      <c r="U270" s="2"/>
      <c r="V270" s="2">
        <v>8955808192</v>
      </c>
      <c r="W270" s="2" t="s">
        <v>1065</v>
      </c>
      <c r="X270" s="2">
        <v>30000</v>
      </c>
      <c r="Y270" s="2" t="s">
        <v>55</v>
      </c>
      <c r="Z270" s="2" t="s">
        <v>55</v>
      </c>
      <c r="AA270" s="2"/>
      <c r="AB270" s="2">
        <v>15</v>
      </c>
      <c r="AC270" s="2" t="s">
        <v>57</v>
      </c>
      <c r="AD270" s="2">
        <v>0</v>
      </c>
    </row>
    <row r="271" spans="1:30" ht="30" x14ac:dyDescent="0.25">
      <c r="A271" s="2">
        <v>9</v>
      </c>
      <c r="B271" s="2" t="s">
        <v>49</v>
      </c>
      <c r="C271" s="2">
        <v>407</v>
      </c>
      <c r="D271" s="3">
        <v>42920</v>
      </c>
      <c r="E271" s="2" t="s">
        <v>1066</v>
      </c>
      <c r="F271" s="2"/>
      <c r="G271" s="2" t="s">
        <v>1067</v>
      </c>
      <c r="H271" s="2" t="s">
        <v>1068</v>
      </c>
      <c r="I271" s="2" t="s">
        <v>51</v>
      </c>
      <c r="J271" s="3">
        <v>40576</v>
      </c>
      <c r="K271" s="2">
        <v>932</v>
      </c>
      <c r="L271" s="2"/>
      <c r="M271" s="2">
        <v>213</v>
      </c>
      <c r="N271" s="2">
        <v>196</v>
      </c>
      <c r="O271" s="2" t="s">
        <v>6</v>
      </c>
      <c r="P271" s="2" t="s">
        <v>52</v>
      </c>
      <c r="Q271" s="2"/>
      <c r="R271" s="2" t="s">
        <v>53</v>
      </c>
      <c r="S271" s="2">
        <v>8210302201</v>
      </c>
      <c r="T271" s="2" t="s">
        <v>1069</v>
      </c>
      <c r="U271" s="2"/>
      <c r="V271" s="2">
        <v>9784061074</v>
      </c>
      <c r="W271" s="2" t="s">
        <v>815</v>
      </c>
      <c r="X271" s="2">
        <v>40000</v>
      </c>
      <c r="Y271" s="2" t="s">
        <v>55</v>
      </c>
      <c r="Z271" s="2" t="s">
        <v>55</v>
      </c>
      <c r="AA271" s="2" t="s">
        <v>56</v>
      </c>
      <c r="AB271" s="2">
        <v>14</v>
      </c>
      <c r="AC271" s="2" t="s">
        <v>57</v>
      </c>
      <c r="AD271" s="2">
        <v>0</v>
      </c>
    </row>
    <row r="272" spans="1:30" ht="30" x14ac:dyDescent="0.25">
      <c r="A272" s="2">
        <v>9</v>
      </c>
      <c r="B272" s="2" t="s">
        <v>49</v>
      </c>
      <c r="C272" s="2">
        <v>524</v>
      </c>
      <c r="D272" s="3">
        <v>43308</v>
      </c>
      <c r="E272" s="2" t="s">
        <v>1070</v>
      </c>
      <c r="F272" s="2"/>
      <c r="G272" s="2" t="s">
        <v>1071</v>
      </c>
      <c r="H272" s="2" t="s">
        <v>909</v>
      </c>
      <c r="I272" s="2" t="s">
        <v>51</v>
      </c>
      <c r="J272" s="3">
        <v>40029</v>
      </c>
      <c r="K272" s="2">
        <v>933</v>
      </c>
      <c r="L272" s="2"/>
      <c r="M272" s="2">
        <v>213</v>
      </c>
      <c r="N272" s="2">
        <v>142</v>
      </c>
      <c r="O272" s="2" t="s">
        <v>6</v>
      </c>
      <c r="P272" s="2" t="s">
        <v>52</v>
      </c>
      <c r="Q272" s="2"/>
      <c r="R272" s="2" t="s">
        <v>53</v>
      </c>
      <c r="S272" s="2">
        <v>8210302201</v>
      </c>
      <c r="T272" s="2" t="s">
        <v>1072</v>
      </c>
      <c r="U272" s="2"/>
      <c r="V272" s="2">
        <v>9660845025</v>
      </c>
      <c r="W272" s="2" t="s">
        <v>472</v>
      </c>
      <c r="X272" s="2">
        <v>60000</v>
      </c>
      <c r="Y272" s="2" t="s">
        <v>55</v>
      </c>
      <c r="Z272" s="2" t="s">
        <v>55</v>
      </c>
      <c r="AA272" s="2" t="s">
        <v>56</v>
      </c>
      <c r="AB272" s="2">
        <v>16</v>
      </c>
      <c r="AC272" s="2" t="s">
        <v>57</v>
      </c>
      <c r="AD272" s="2">
        <v>0</v>
      </c>
    </row>
    <row r="273" spans="1:30" ht="30" x14ac:dyDescent="0.25">
      <c r="A273" s="2">
        <v>9</v>
      </c>
      <c r="B273" s="2" t="s">
        <v>49</v>
      </c>
      <c r="C273" s="2">
        <v>773</v>
      </c>
      <c r="D273" s="3">
        <v>44755</v>
      </c>
      <c r="E273" s="2" t="s">
        <v>1073</v>
      </c>
      <c r="F273" s="2"/>
      <c r="G273" s="2" t="s">
        <v>746</v>
      </c>
      <c r="H273" s="2" t="s">
        <v>1074</v>
      </c>
      <c r="I273" s="2" t="s">
        <v>51</v>
      </c>
      <c r="J273" s="3">
        <v>40563</v>
      </c>
      <c r="K273" s="2">
        <v>934</v>
      </c>
      <c r="L273" s="2"/>
      <c r="M273" s="2">
        <v>213</v>
      </c>
      <c r="N273" s="2">
        <v>198</v>
      </c>
      <c r="O273" s="2" t="s">
        <v>6</v>
      </c>
      <c r="P273" s="2" t="s">
        <v>52</v>
      </c>
      <c r="Q273" s="2"/>
      <c r="R273" s="2" t="s">
        <v>53</v>
      </c>
      <c r="S273" s="2">
        <v>8210302201</v>
      </c>
      <c r="T273" s="2" t="s">
        <v>1075</v>
      </c>
      <c r="U273" s="2"/>
      <c r="V273" s="2">
        <v>9602068275</v>
      </c>
      <c r="W273" s="2" t="s">
        <v>1076</v>
      </c>
      <c r="X273" s="2">
        <v>39000</v>
      </c>
      <c r="Y273" s="2" t="s">
        <v>55</v>
      </c>
      <c r="Z273" s="2" t="s">
        <v>55</v>
      </c>
      <c r="AA273" s="2" t="s">
        <v>56</v>
      </c>
      <c r="AB273" s="2">
        <v>14</v>
      </c>
      <c r="AC273" s="2" t="s">
        <v>57</v>
      </c>
      <c r="AD273" s="2">
        <v>1</v>
      </c>
    </row>
    <row r="274" spans="1:30" ht="30" x14ac:dyDescent="0.25">
      <c r="A274" s="2">
        <v>9</v>
      </c>
      <c r="B274" s="2" t="s">
        <v>49</v>
      </c>
      <c r="C274" s="2">
        <v>626</v>
      </c>
      <c r="D274" s="3">
        <v>44056</v>
      </c>
      <c r="E274" s="2" t="s">
        <v>1077</v>
      </c>
      <c r="F274" s="2"/>
      <c r="G274" s="2" t="s">
        <v>1078</v>
      </c>
      <c r="H274" s="2" t="s">
        <v>1079</v>
      </c>
      <c r="I274" s="2" t="s">
        <v>51</v>
      </c>
      <c r="J274" s="3">
        <v>40056</v>
      </c>
      <c r="K274" s="2">
        <v>935</v>
      </c>
      <c r="L274" s="2"/>
      <c r="M274" s="2">
        <v>213</v>
      </c>
      <c r="N274" s="2">
        <v>194</v>
      </c>
      <c r="O274" s="2" t="s">
        <v>6</v>
      </c>
      <c r="P274" s="2" t="s">
        <v>52</v>
      </c>
      <c r="Q274" s="2"/>
      <c r="R274" s="2" t="s">
        <v>53</v>
      </c>
      <c r="S274" s="2">
        <v>8210302201</v>
      </c>
      <c r="T274" s="2" t="s">
        <v>1080</v>
      </c>
      <c r="U274" s="2"/>
      <c r="V274" s="2">
        <v>9784173672</v>
      </c>
      <c r="W274" s="2" t="s">
        <v>201</v>
      </c>
      <c r="X274" s="2">
        <v>60000</v>
      </c>
      <c r="Y274" s="2" t="s">
        <v>55</v>
      </c>
      <c r="Z274" s="2" t="s">
        <v>55</v>
      </c>
      <c r="AA274" s="2" t="s">
        <v>56</v>
      </c>
      <c r="AB274" s="2">
        <v>16</v>
      </c>
      <c r="AC274" s="2" t="s">
        <v>57</v>
      </c>
      <c r="AD274" s="2">
        <v>0</v>
      </c>
    </row>
    <row r="275" spans="1:30" ht="30" x14ac:dyDescent="0.25">
      <c r="A275" s="2">
        <v>9</v>
      </c>
      <c r="B275" s="2" t="s">
        <v>49</v>
      </c>
      <c r="C275" s="2">
        <v>357</v>
      </c>
      <c r="D275" s="3">
        <v>42564</v>
      </c>
      <c r="E275" s="2" t="s">
        <v>1081</v>
      </c>
      <c r="F275" s="2"/>
      <c r="G275" s="2" t="s">
        <v>1082</v>
      </c>
      <c r="H275" s="2" t="s">
        <v>1083</v>
      </c>
      <c r="I275" s="2" t="s">
        <v>51</v>
      </c>
      <c r="J275" s="3">
        <v>40756</v>
      </c>
      <c r="K275" s="2">
        <v>936</v>
      </c>
      <c r="L275" s="2"/>
      <c r="M275" s="2">
        <v>213</v>
      </c>
      <c r="N275" s="2">
        <v>137</v>
      </c>
      <c r="O275" s="2" t="s">
        <v>6</v>
      </c>
      <c r="P275" s="2" t="s">
        <v>52</v>
      </c>
      <c r="Q275" s="2"/>
      <c r="R275" s="2" t="s">
        <v>53</v>
      </c>
      <c r="S275" s="2">
        <v>8210302201</v>
      </c>
      <c r="T275" s="2" t="s">
        <v>1084</v>
      </c>
      <c r="U275" s="2" t="s">
        <v>1085</v>
      </c>
      <c r="V275" s="2">
        <v>8003052757</v>
      </c>
      <c r="W275" s="2" t="s">
        <v>1086</v>
      </c>
      <c r="X275" s="2">
        <v>55000</v>
      </c>
      <c r="Y275" s="2" t="s">
        <v>55</v>
      </c>
      <c r="Z275" s="2" t="s">
        <v>55</v>
      </c>
      <c r="AA275" s="2" t="s">
        <v>56</v>
      </c>
      <c r="AB275" s="2">
        <v>14</v>
      </c>
      <c r="AC275" s="2" t="s">
        <v>57</v>
      </c>
      <c r="AD275" s="2">
        <v>3</v>
      </c>
    </row>
    <row r="276" spans="1:30" ht="30" x14ac:dyDescent="0.25">
      <c r="A276" s="2">
        <v>9</v>
      </c>
      <c r="B276" s="2" t="s">
        <v>49</v>
      </c>
      <c r="C276" s="2">
        <v>406</v>
      </c>
      <c r="D276" s="3">
        <v>42920</v>
      </c>
      <c r="E276" s="2" t="s">
        <v>1081</v>
      </c>
      <c r="F276" s="2"/>
      <c r="G276" s="2" t="s">
        <v>1087</v>
      </c>
      <c r="H276" s="2" t="s">
        <v>1088</v>
      </c>
      <c r="I276" s="2" t="s">
        <v>51</v>
      </c>
      <c r="J276" s="3">
        <v>40668</v>
      </c>
      <c r="K276" s="2">
        <v>937</v>
      </c>
      <c r="L276" s="2"/>
      <c r="M276" s="2">
        <v>213</v>
      </c>
      <c r="N276" s="2">
        <v>178</v>
      </c>
      <c r="O276" s="2" t="s">
        <v>6</v>
      </c>
      <c r="P276" s="2" t="s">
        <v>52</v>
      </c>
      <c r="Q276" s="2"/>
      <c r="R276" s="2" t="s">
        <v>53</v>
      </c>
      <c r="S276" s="2">
        <v>8210302201</v>
      </c>
      <c r="T276" s="2" t="s">
        <v>1089</v>
      </c>
      <c r="U276" s="2" t="s">
        <v>1090</v>
      </c>
      <c r="V276" s="2">
        <v>9929249134</v>
      </c>
      <c r="W276" s="2" t="s">
        <v>815</v>
      </c>
      <c r="X276" s="2">
        <v>40000</v>
      </c>
      <c r="Y276" s="2" t="s">
        <v>55</v>
      </c>
      <c r="Z276" s="2" t="s">
        <v>55</v>
      </c>
      <c r="AA276" s="2" t="s">
        <v>56</v>
      </c>
      <c r="AB276" s="2">
        <v>14</v>
      </c>
      <c r="AC276" s="2" t="s">
        <v>57</v>
      </c>
      <c r="AD276" s="2">
        <v>0</v>
      </c>
    </row>
    <row r="277" spans="1:30" ht="30" x14ac:dyDescent="0.25">
      <c r="A277" s="2">
        <v>9</v>
      </c>
      <c r="B277" s="2" t="s">
        <v>49</v>
      </c>
      <c r="C277" s="2">
        <v>555</v>
      </c>
      <c r="D277" s="3">
        <v>43652</v>
      </c>
      <c r="E277" s="2" t="s">
        <v>785</v>
      </c>
      <c r="F277" s="2"/>
      <c r="G277" s="2" t="s">
        <v>1091</v>
      </c>
      <c r="H277" s="2" t="s">
        <v>512</v>
      </c>
      <c r="I277" s="2" t="s">
        <v>51</v>
      </c>
      <c r="J277" s="3">
        <v>40218</v>
      </c>
      <c r="K277" s="2">
        <v>939</v>
      </c>
      <c r="L277" s="2"/>
      <c r="M277" s="2">
        <v>213</v>
      </c>
      <c r="N277" s="2">
        <v>198</v>
      </c>
      <c r="O277" s="2" t="s">
        <v>6</v>
      </c>
      <c r="P277" s="2" t="s">
        <v>52</v>
      </c>
      <c r="Q277" s="2"/>
      <c r="R277" s="2" t="s">
        <v>53</v>
      </c>
      <c r="S277" s="2">
        <v>8210302201</v>
      </c>
      <c r="T277" s="2" t="s">
        <v>1092</v>
      </c>
      <c r="U277" s="2" t="s">
        <v>1093</v>
      </c>
      <c r="V277" s="2">
        <v>9928429376</v>
      </c>
      <c r="W277" s="2" t="s">
        <v>467</v>
      </c>
      <c r="X277" s="2">
        <v>48000</v>
      </c>
      <c r="Y277" s="2" t="s">
        <v>55</v>
      </c>
      <c r="Z277" s="2" t="s">
        <v>55</v>
      </c>
      <c r="AA277" s="2" t="s">
        <v>56</v>
      </c>
      <c r="AB277" s="2">
        <v>15</v>
      </c>
      <c r="AC277" s="2" t="s">
        <v>57</v>
      </c>
      <c r="AD277" s="2">
        <v>0</v>
      </c>
    </row>
    <row r="278" spans="1:30" ht="30" x14ac:dyDescent="0.25">
      <c r="A278" s="2">
        <v>9</v>
      </c>
      <c r="B278" s="2" t="s">
        <v>49</v>
      </c>
      <c r="C278" s="2">
        <v>324</v>
      </c>
      <c r="D278" s="3">
        <v>42497</v>
      </c>
      <c r="E278" s="2" t="s">
        <v>785</v>
      </c>
      <c r="F278" s="2"/>
      <c r="G278" s="2" t="s">
        <v>872</v>
      </c>
      <c r="H278" s="2" t="s">
        <v>1068</v>
      </c>
      <c r="I278" s="2" t="s">
        <v>51</v>
      </c>
      <c r="J278" s="3">
        <v>40359</v>
      </c>
      <c r="K278" s="2">
        <v>938</v>
      </c>
      <c r="L278" s="2"/>
      <c r="M278" s="2">
        <v>213</v>
      </c>
      <c r="N278" s="2">
        <v>176</v>
      </c>
      <c r="O278" s="2" t="s">
        <v>6</v>
      </c>
      <c r="P278" s="2" t="s">
        <v>52</v>
      </c>
      <c r="Q278" s="2"/>
      <c r="R278" s="2" t="s">
        <v>53</v>
      </c>
      <c r="S278" s="2">
        <v>8210302201</v>
      </c>
      <c r="T278" s="2" t="s">
        <v>1094</v>
      </c>
      <c r="U278" s="2" t="s">
        <v>875</v>
      </c>
      <c r="V278" s="2">
        <v>7340609672</v>
      </c>
      <c r="W278" s="2" t="s">
        <v>967</v>
      </c>
      <c r="X278" s="2">
        <v>40000</v>
      </c>
      <c r="Y278" s="2" t="s">
        <v>55</v>
      </c>
      <c r="Z278" s="2" t="s">
        <v>55</v>
      </c>
      <c r="AA278" s="2" t="s">
        <v>56</v>
      </c>
      <c r="AB278" s="2">
        <v>15</v>
      </c>
      <c r="AC278" s="2" t="s">
        <v>57</v>
      </c>
      <c r="AD278" s="2">
        <v>0</v>
      </c>
    </row>
    <row r="279" spans="1:30" ht="30" x14ac:dyDescent="0.25">
      <c r="A279" s="2">
        <v>9</v>
      </c>
      <c r="B279" s="2" t="s">
        <v>49</v>
      </c>
      <c r="C279" s="2">
        <v>681</v>
      </c>
      <c r="D279" s="3">
        <v>44386</v>
      </c>
      <c r="E279" s="2" t="s">
        <v>1095</v>
      </c>
      <c r="F279" s="2"/>
      <c r="G279" s="2" t="s">
        <v>1096</v>
      </c>
      <c r="H279" s="2" t="s">
        <v>1097</v>
      </c>
      <c r="I279" s="2" t="s">
        <v>67</v>
      </c>
      <c r="J279" s="3">
        <v>40330</v>
      </c>
      <c r="K279" s="2">
        <v>940</v>
      </c>
      <c r="L279" s="2"/>
      <c r="M279" s="2">
        <v>213</v>
      </c>
      <c r="N279" s="2">
        <v>125</v>
      </c>
      <c r="O279" s="2" t="s">
        <v>5</v>
      </c>
      <c r="P279" s="2"/>
      <c r="Q279" s="2"/>
      <c r="R279" s="2" t="s">
        <v>53</v>
      </c>
      <c r="S279" s="2">
        <v>8210302201</v>
      </c>
      <c r="T279" s="2" t="s">
        <v>1098</v>
      </c>
      <c r="U279" s="2"/>
      <c r="V279" s="2">
        <v>9784100946</v>
      </c>
      <c r="W279" s="2" t="s">
        <v>970</v>
      </c>
      <c r="X279" s="2">
        <v>50000</v>
      </c>
      <c r="Y279" s="2" t="s">
        <v>55</v>
      </c>
      <c r="Z279" s="2" t="s">
        <v>55</v>
      </c>
      <c r="AA279" s="2"/>
      <c r="AB279" s="2">
        <v>15</v>
      </c>
      <c r="AC279" s="2" t="s">
        <v>57</v>
      </c>
      <c r="AD279" s="2">
        <v>1</v>
      </c>
    </row>
    <row r="280" spans="1:30" ht="30" x14ac:dyDescent="0.25">
      <c r="A280" s="2">
        <v>9</v>
      </c>
      <c r="B280" s="2" t="s">
        <v>49</v>
      </c>
      <c r="C280" s="2">
        <v>695</v>
      </c>
      <c r="D280" s="3">
        <v>44392</v>
      </c>
      <c r="E280" s="2" t="s">
        <v>653</v>
      </c>
      <c r="F280" s="2"/>
      <c r="G280" s="2" t="s">
        <v>1099</v>
      </c>
      <c r="H280" s="2" t="s">
        <v>296</v>
      </c>
      <c r="I280" s="2" t="s">
        <v>67</v>
      </c>
      <c r="J280" s="3">
        <v>40792</v>
      </c>
      <c r="K280" s="2">
        <v>941</v>
      </c>
      <c r="L280" s="2"/>
      <c r="M280" s="2">
        <v>213</v>
      </c>
      <c r="N280" s="2">
        <v>193</v>
      </c>
      <c r="O280" s="2" t="s">
        <v>6</v>
      </c>
      <c r="P280" s="2" t="s">
        <v>52</v>
      </c>
      <c r="Q280" s="2"/>
      <c r="R280" s="2" t="s">
        <v>53</v>
      </c>
      <c r="S280" s="2">
        <v>8210302201</v>
      </c>
      <c r="T280" s="2" t="s">
        <v>1100</v>
      </c>
      <c r="U280" s="2"/>
      <c r="V280" s="2">
        <v>9636679739</v>
      </c>
      <c r="W280" s="2" t="s">
        <v>201</v>
      </c>
      <c r="X280" s="2">
        <v>50000</v>
      </c>
      <c r="Y280" s="2" t="s">
        <v>55</v>
      </c>
      <c r="Z280" s="2" t="s">
        <v>55</v>
      </c>
      <c r="AA280" s="2" t="s">
        <v>56</v>
      </c>
      <c r="AB280" s="2">
        <v>14</v>
      </c>
      <c r="AC280" s="2" t="s">
        <v>57</v>
      </c>
      <c r="AD280" s="2">
        <v>0</v>
      </c>
    </row>
    <row r="281" spans="1:30" ht="30" x14ac:dyDescent="0.25">
      <c r="A281" s="2">
        <v>9</v>
      </c>
      <c r="B281" s="2" t="s">
        <v>49</v>
      </c>
      <c r="C281" s="2">
        <v>351</v>
      </c>
      <c r="D281" s="3">
        <v>42557</v>
      </c>
      <c r="E281" s="2" t="s">
        <v>1101</v>
      </c>
      <c r="F281" s="2"/>
      <c r="G281" s="2" t="s">
        <v>1102</v>
      </c>
      <c r="H281" s="2" t="s">
        <v>669</v>
      </c>
      <c r="I281" s="2" t="s">
        <v>67</v>
      </c>
      <c r="J281" s="3">
        <v>40374</v>
      </c>
      <c r="K281" s="2">
        <v>942</v>
      </c>
      <c r="L281" s="2"/>
      <c r="M281" s="2">
        <v>213</v>
      </c>
      <c r="N281" s="2">
        <v>181</v>
      </c>
      <c r="O281" s="2" t="s">
        <v>6</v>
      </c>
      <c r="P281" s="2" t="s">
        <v>52</v>
      </c>
      <c r="Q281" s="2"/>
      <c r="R281" s="2" t="s">
        <v>53</v>
      </c>
      <c r="S281" s="2">
        <v>8210302201</v>
      </c>
      <c r="T281" s="2" t="s">
        <v>1103</v>
      </c>
      <c r="U281" s="2" t="s">
        <v>671</v>
      </c>
      <c r="V281" s="2">
        <v>9001682700</v>
      </c>
      <c r="W281" s="2" t="s">
        <v>967</v>
      </c>
      <c r="X281" s="2">
        <v>70000</v>
      </c>
      <c r="Y281" s="2" t="s">
        <v>55</v>
      </c>
      <c r="Z281" s="2" t="s">
        <v>55</v>
      </c>
      <c r="AA281" s="2" t="s">
        <v>56</v>
      </c>
      <c r="AB281" s="2">
        <v>15</v>
      </c>
      <c r="AC281" s="2" t="s">
        <v>57</v>
      </c>
      <c r="AD281" s="2">
        <v>0</v>
      </c>
    </row>
    <row r="282" spans="1:30" ht="30" x14ac:dyDescent="0.25">
      <c r="A282" s="2">
        <v>9</v>
      </c>
      <c r="B282" s="2" t="s">
        <v>49</v>
      </c>
      <c r="C282" s="2">
        <v>356</v>
      </c>
      <c r="D282" s="3">
        <v>42564</v>
      </c>
      <c r="E282" s="2" t="s">
        <v>1104</v>
      </c>
      <c r="F282" s="2"/>
      <c r="G282" s="2" t="s">
        <v>1105</v>
      </c>
      <c r="H282" s="2" t="s">
        <v>1106</v>
      </c>
      <c r="I282" s="2" t="s">
        <v>51</v>
      </c>
      <c r="J282" s="3">
        <v>40340</v>
      </c>
      <c r="K282" s="2">
        <v>943</v>
      </c>
      <c r="L282" s="2"/>
      <c r="M282" s="2">
        <v>213</v>
      </c>
      <c r="N282" s="2">
        <v>175</v>
      </c>
      <c r="O282" s="2" t="s">
        <v>6</v>
      </c>
      <c r="P282" s="2" t="s">
        <v>52</v>
      </c>
      <c r="Q282" s="2"/>
      <c r="R282" s="2" t="s">
        <v>53</v>
      </c>
      <c r="S282" s="2">
        <v>8210302201</v>
      </c>
      <c r="T282" s="2" t="s">
        <v>1107</v>
      </c>
      <c r="U282" s="2" t="s">
        <v>1108</v>
      </c>
      <c r="V282" s="2">
        <v>9950699293</v>
      </c>
      <c r="W282" s="2" t="s">
        <v>967</v>
      </c>
      <c r="X282" s="2">
        <v>50000</v>
      </c>
      <c r="Y282" s="2" t="s">
        <v>55</v>
      </c>
      <c r="Z282" s="2" t="s">
        <v>55</v>
      </c>
      <c r="AA282" s="2" t="s">
        <v>56</v>
      </c>
      <c r="AB282" s="2">
        <v>15</v>
      </c>
      <c r="AC282" s="2" t="s">
        <v>57</v>
      </c>
      <c r="AD282" s="2">
        <v>0</v>
      </c>
    </row>
    <row r="283" spans="1:30" ht="30" x14ac:dyDescent="0.25">
      <c r="A283" s="2">
        <v>9</v>
      </c>
      <c r="B283" s="2" t="s">
        <v>49</v>
      </c>
      <c r="C283" s="2">
        <v>438</v>
      </c>
      <c r="D283" s="3">
        <v>42937</v>
      </c>
      <c r="E283" s="2" t="s">
        <v>1109</v>
      </c>
      <c r="F283" s="2"/>
      <c r="G283" s="2" t="s">
        <v>1110</v>
      </c>
      <c r="H283" s="2" t="s">
        <v>592</v>
      </c>
      <c r="I283" s="2" t="s">
        <v>67</v>
      </c>
      <c r="J283" s="3">
        <v>40758</v>
      </c>
      <c r="K283" s="2">
        <v>944</v>
      </c>
      <c r="L283" s="2"/>
      <c r="M283" s="2">
        <v>213</v>
      </c>
      <c r="N283" s="2">
        <v>155</v>
      </c>
      <c r="O283" s="2" t="s">
        <v>6</v>
      </c>
      <c r="P283" s="2" t="s">
        <v>52</v>
      </c>
      <c r="Q283" s="2"/>
      <c r="R283" s="2" t="s">
        <v>53</v>
      </c>
      <c r="S283" s="2">
        <v>8210302201</v>
      </c>
      <c r="T283" s="2" t="s">
        <v>1111</v>
      </c>
      <c r="U283" s="2" t="s">
        <v>1112</v>
      </c>
      <c r="V283" s="2">
        <v>9460361075</v>
      </c>
      <c r="W283" s="2" t="s">
        <v>815</v>
      </c>
      <c r="X283" s="2">
        <v>60000</v>
      </c>
      <c r="Y283" s="2" t="s">
        <v>55</v>
      </c>
      <c r="Z283" s="2" t="s">
        <v>55</v>
      </c>
      <c r="AA283" s="2" t="s">
        <v>56</v>
      </c>
      <c r="AB283" s="2">
        <v>14</v>
      </c>
      <c r="AC283" s="2" t="s">
        <v>57</v>
      </c>
      <c r="AD283" s="2">
        <v>0</v>
      </c>
    </row>
    <row r="284" spans="1:30" ht="30" x14ac:dyDescent="0.25">
      <c r="A284" s="2">
        <v>9</v>
      </c>
      <c r="B284" s="2" t="s">
        <v>49</v>
      </c>
      <c r="C284" s="2">
        <v>327</v>
      </c>
      <c r="D284" s="3">
        <v>42548</v>
      </c>
      <c r="E284" s="2" t="s">
        <v>1113</v>
      </c>
      <c r="F284" s="2"/>
      <c r="G284" s="2" t="s">
        <v>1114</v>
      </c>
      <c r="H284" s="2" t="s">
        <v>657</v>
      </c>
      <c r="I284" s="2" t="s">
        <v>67</v>
      </c>
      <c r="J284" s="3">
        <v>40191</v>
      </c>
      <c r="K284" s="2">
        <v>945</v>
      </c>
      <c r="L284" s="2"/>
      <c r="M284" s="2">
        <v>213</v>
      </c>
      <c r="N284" s="2">
        <v>172</v>
      </c>
      <c r="O284" s="2" t="s">
        <v>6</v>
      </c>
      <c r="P284" s="2" t="s">
        <v>52</v>
      </c>
      <c r="Q284" s="2"/>
      <c r="R284" s="2" t="s">
        <v>53</v>
      </c>
      <c r="S284" s="2">
        <v>8210302201</v>
      </c>
      <c r="T284" s="2" t="s">
        <v>1115</v>
      </c>
      <c r="U284" s="2" t="s">
        <v>1116</v>
      </c>
      <c r="V284" s="2">
        <v>9636679743</v>
      </c>
      <c r="W284" s="2" t="s">
        <v>967</v>
      </c>
      <c r="X284" s="2">
        <v>60000</v>
      </c>
      <c r="Y284" s="2" t="s">
        <v>55</v>
      </c>
      <c r="Z284" s="2" t="s">
        <v>55</v>
      </c>
      <c r="AA284" s="2" t="s">
        <v>56</v>
      </c>
      <c r="AB284" s="2">
        <v>15</v>
      </c>
      <c r="AC284" s="2" t="s">
        <v>57</v>
      </c>
      <c r="AD284" s="2">
        <v>0</v>
      </c>
    </row>
    <row r="285" spans="1:30" ht="30" x14ac:dyDescent="0.25">
      <c r="A285" s="2">
        <v>10</v>
      </c>
      <c r="B285" s="2" t="s">
        <v>49</v>
      </c>
      <c r="C285" s="2">
        <v>912</v>
      </c>
      <c r="D285" s="3">
        <v>45504</v>
      </c>
      <c r="E285" s="2" t="s">
        <v>1117</v>
      </c>
      <c r="F285" s="2"/>
      <c r="G285" s="2" t="s">
        <v>1118</v>
      </c>
      <c r="H285" s="2" t="s">
        <v>1119</v>
      </c>
      <c r="I285" s="2" t="s">
        <v>67</v>
      </c>
      <c r="J285" s="3">
        <v>39961</v>
      </c>
      <c r="K285" s="2">
        <v>1001</v>
      </c>
      <c r="L285" s="2"/>
      <c r="M285" s="2">
        <v>160</v>
      </c>
      <c r="N285" s="2">
        <v>126</v>
      </c>
      <c r="O285" s="2" t="s">
        <v>8</v>
      </c>
      <c r="P285" s="2"/>
      <c r="Q285" s="2"/>
      <c r="R285" s="2" t="s">
        <v>53</v>
      </c>
      <c r="S285" s="2">
        <v>8210302201</v>
      </c>
      <c r="T285" s="2" t="s">
        <v>1120</v>
      </c>
      <c r="U285" s="2"/>
      <c r="V285" s="2">
        <v>9829527736</v>
      </c>
      <c r="W285" s="2"/>
      <c r="X285" s="2"/>
      <c r="Y285" s="2" t="s">
        <v>55</v>
      </c>
      <c r="Z285" s="2" t="s">
        <v>190</v>
      </c>
      <c r="AA285" s="2"/>
      <c r="AB285" s="2">
        <v>16</v>
      </c>
      <c r="AC285" s="2"/>
      <c r="AD285" s="2">
        <v>0</v>
      </c>
    </row>
    <row r="286" spans="1:30" ht="30" x14ac:dyDescent="0.25">
      <c r="A286" s="2">
        <v>10</v>
      </c>
      <c r="B286" s="2" t="s">
        <v>49</v>
      </c>
      <c r="C286" s="2">
        <v>591</v>
      </c>
      <c r="D286" s="3">
        <v>43679</v>
      </c>
      <c r="E286" s="2" t="s">
        <v>1121</v>
      </c>
      <c r="F286" s="2"/>
      <c r="G286" s="2" t="s">
        <v>1122</v>
      </c>
      <c r="H286" s="2" t="s">
        <v>1123</v>
      </c>
      <c r="I286" s="2" t="s">
        <v>51</v>
      </c>
      <c r="J286" s="3">
        <v>40234</v>
      </c>
      <c r="K286" s="2">
        <v>1002</v>
      </c>
      <c r="L286" s="2"/>
      <c r="M286" s="2">
        <v>160</v>
      </c>
      <c r="N286" s="2">
        <v>154</v>
      </c>
      <c r="O286" s="2" t="s">
        <v>5</v>
      </c>
      <c r="P286" s="2" t="s">
        <v>52</v>
      </c>
      <c r="Q286" s="2"/>
      <c r="R286" s="2" t="s">
        <v>53</v>
      </c>
      <c r="S286" s="2">
        <v>8210302201</v>
      </c>
      <c r="T286" s="2" t="s">
        <v>1124</v>
      </c>
      <c r="U286" s="2" t="s">
        <v>1125</v>
      </c>
      <c r="V286" s="2">
        <v>9999999999</v>
      </c>
      <c r="W286" s="2" t="s">
        <v>467</v>
      </c>
      <c r="X286" s="2">
        <v>48000</v>
      </c>
      <c r="Y286" s="2" t="s">
        <v>55</v>
      </c>
      <c r="Z286" s="2" t="s">
        <v>55</v>
      </c>
      <c r="AA286" s="2" t="s">
        <v>56</v>
      </c>
      <c r="AB286" s="2">
        <v>15</v>
      </c>
      <c r="AC286" s="2" t="s">
        <v>57</v>
      </c>
      <c r="AD286" s="2">
        <v>3</v>
      </c>
    </row>
    <row r="287" spans="1:30" ht="30" x14ac:dyDescent="0.25">
      <c r="A287" s="2">
        <v>10</v>
      </c>
      <c r="B287" s="2" t="s">
        <v>49</v>
      </c>
      <c r="C287" s="2">
        <v>227</v>
      </c>
      <c r="D287" s="2"/>
      <c r="E287" s="2" t="s">
        <v>1126</v>
      </c>
      <c r="F287" s="2"/>
      <c r="G287" s="2" t="s">
        <v>1127</v>
      </c>
      <c r="H287" s="2" t="s">
        <v>1055</v>
      </c>
      <c r="I287" s="2" t="s">
        <v>67</v>
      </c>
      <c r="J287" s="3">
        <v>38900</v>
      </c>
      <c r="K287" s="2">
        <v>1003</v>
      </c>
      <c r="L287" s="2"/>
      <c r="M287" s="2">
        <v>160</v>
      </c>
      <c r="N287" s="2">
        <v>154</v>
      </c>
      <c r="O287" s="2" t="s">
        <v>6</v>
      </c>
      <c r="P287" s="2" t="s">
        <v>52</v>
      </c>
      <c r="Q287" s="2"/>
      <c r="R287" s="2" t="s">
        <v>53</v>
      </c>
      <c r="S287" s="2">
        <v>8210302201</v>
      </c>
      <c r="T287" s="2" t="s">
        <v>1128</v>
      </c>
      <c r="U287" s="2" t="s">
        <v>1129</v>
      </c>
      <c r="V287" s="2">
        <v>9001131547</v>
      </c>
      <c r="W287" s="2" t="s">
        <v>1130</v>
      </c>
      <c r="X287" s="2">
        <v>40000</v>
      </c>
      <c r="Y287" s="2" t="s">
        <v>55</v>
      </c>
      <c r="Z287" s="2" t="s">
        <v>55</v>
      </c>
      <c r="AA287" s="2" t="s">
        <v>56</v>
      </c>
      <c r="AB287" s="2">
        <v>19</v>
      </c>
      <c r="AC287" s="2" t="s">
        <v>57</v>
      </c>
      <c r="AD287" s="2">
        <v>0</v>
      </c>
    </row>
    <row r="288" spans="1:30" ht="30" x14ac:dyDescent="0.25">
      <c r="A288" s="2">
        <v>10</v>
      </c>
      <c r="B288" s="2" t="s">
        <v>49</v>
      </c>
      <c r="C288" s="2">
        <v>637</v>
      </c>
      <c r="D288" s="3">
        <v>44057</v>
      </c>
      <c r="E288" s="2" t="s">
        <v>1131</v>
      </c>
      <c r="F288" s="2"/>
      <c r="G288" s="2" t="s">
        <v>1132</v>
      </c>
      <c r="H288" s="2" t="s">
        <v>1133</v>
      </c>
      <c r="I288" s="2" t="s">
        <v>67</v>
      </c>
      <c r="J288" s="3">
        <v>39448</v>
      </c>
      <c r="K288" s="2">
        <v>1004</v>
      </c>
      <c r="L288" s="2"/>
      <c r="M288" s="2">
        <v>160</v>
      </c>
      <c r="N288" s="2">
        <v>152</v>
      </c>
      <c r="O288" s="2" t="s">
        <v>6</v>
      </c>
      <c r="P288" s="2" t="s">
        <v>52</v>
      </c>
      <c r="Q288" s="2"/>
      <c r="R288" s="2" t="s">
        <v>53</v>
      </c>
      <c r="S288" s="2">
        <v>8210302201</v>
      </c>
      <c r="T288" s="2" t="s">
        <v>1134</v>
      </c>
      <c r="U288" s="2"/>
      <c r="V288" s="2">
        <v>9784989933</v>
      </c>
      <c r="W288" s="2" t="s">
        <v>1135</v>
      </c>
      <c r="X288" s="2">
        <v>50000</v>
      </c>
      <c r="Y288" s="2" t="s">
        <v>55</v>
      </c>
      <c r="Z288" s="2" t="s">
        <v>55</v>
      </c>
      <c r="AA288" s="2" t="s">
        <v>56</v>
      </c>
      <c r="AB288" s="2">
        <v>17</v>
      </c>
      <c r="AC288" s="2" t="s">
        <v>57</v>
      </c>
      <c r="AD288" s="2">
        <v>0</v>
      </c>
    </row>
    <row r="289" spans="1:30" ht="30" x14ac:dyDescent="0.25">
      <c r="A289" s="2">
        <v>10</v>
      </c>
      <c r="B289" s="2" t="s">
        <v>49</v>
      </c>
      <c r="C289" s="2">
        <v>374</v>
      </c>
      <c r="D289" s="3">
        <v>42660</v>
      </c>
      <c r="E289" s="2" t="s">
        <v>742</v>
      </c>
      <c r="F289" s="2"/>
      <c r="G289" s="2" t="s">
        <v>1136</v>
      </c>
      <c r="H289" s="2" t="s">
        <v>900</v>
      </c>
      <c r="I289" s="2" t="s">
        <v>67</v>
      </c>
      <c r="J289" s="3">
        <v>40606</v>
      </c>
      <c r="K289" s="2">
        <v>1005</v>
      </c>
      <c r="L289" s="2"/>
      <c r="M289" s="2">
        <v>160</v>
      </c>
      <c r="N289" s="2">
        <v>147</v>
      </c>
      <c r="O289" s="2" t="s">
        <v>6</v>
      </c>
      <c r="P289" s="2" t="s">
        <v>52</v>
      </c>
      <c r="Q289" s="2"/>
      <c r="R289" s="2" t="s">
        <v>53</v>
      </c>
      <c r="S289" s="2">
        <v>8210302201</v>
      </c>
      <c r="T289" s="2" t="s">
        <v>1137</v>
      </c>
      <c r="U289" s="2" t="s">
        <v>1138</v>
      </c>
      <c r="V289" s="2">
        <v>9460361075</v>
      </c>
      <c r="W289" s="2" t="s">
        <v>967</v>
      </c>
      <c r="X289" s="2">
        <v>40000</v>
      </c>
      <c r="Y289" s="2" t="s">
        <v>55</v>
      </c>
      <c r="Z289" s="2" t="s">
        <v>55</v>
      </c>
      <c r="AA289" s="2" t="s">
        <v>56</v>
      </c>
      <c r="AB289" s="2">
        <v>14</v>
      </c>
      <c r="AC289" s="2" t="s">
        <v>57</v>
      </c>
      <c r="AD289" s="2">
        <v>0</v>
      </c>
    </row>
    <row r="290" spans="1:30" ht="30" x14ac:dyDescent="0.25">
      <c r="A290" s="2">
        <v>10</v>
      </c>
      <c r="B290" s="2" t="s">
        <v>49</v>
      </c>
      <c r="C290" s="2">
        <v>619</v>
      </c>
      <c r="D290" s="3">
        <v>44053</v>
      </c>
      <c r="E290" s="2" t="s">
        <v>1139</v>
      </c>
      <c r="F290" s="2"/>
      <c r="G290" s="2" t="s">
        <v>1140</v>
      </c>
      <c r="H290" s="2" t="s">
        <v>1141</v>
      </c>
      <c r="I290" s="2" t="s">
        <v>51</v>
      </c>
      <c r="J290" s="3">
        <v>39582</v>
      </c>
      <c r="K290" s="2">
        <v>1006</v>
      </c>
      <c r="L290" s="2"/>
      <c r="M290" s="2">
        <v>160</v>
      </c>
      <c r="N290" s="2">
        <v>158</v>
      </c>
      <c r="O290" s="2" t="s">
        <v>7</v>
      </c>
      <c r="P290" s="2"/>
      <c r="Q290" s="2"/>
      <c r="R290" s="2" t="s">
        <v>53</v>
      </c>
      <c r="S290" s="2">
        <v>8210302201</v>
      </c>
      <c r="T290" s="2" t="s">
        <v>1142</v>
      </c>
      <c r="U290" s="2"/>
      <c r="V290" s="2">
        <v>9888888888</v>
      </c>
      <c r="W290" s="2" t="s">
        <v>1143</v>
      </c>
      <c r="X290" s="2">
        <v>0</v>
      </c>
      <c r="Y290" s="2" t="s">
        <v>55</v>
      </c>
      <c r="Z290" s="2" t="s">
        <v>55</v>
      </c>
      <c r="AA290" s="2"/>
      <c r="AB290" s="2">
        <v>17</v>
      </c>
      <c r="AC290" s="2" t="s">
        <v>57</v>
      </c>
      <c r="AD290" s="2">
        <v>1</v>
      </c>
    </row>
    <row r="291" spans="1:30" ht="30" x14ac:dyDescent="0.25">
      <c r="A291" s="2">
        <v>10</v>
      </c>
      <c r="B291" s="2" t="s">
        <v>49</v>
      </c>
      <c r="C291" s="2">
        <v>256</v>
      </c>
      <c r="D291" s="2"/>
      <c r="E291" s="2" t="s">
        <v>1144</v>
      </c>
      <c r="F291" s="2"/>
      <c r="G291" s="2" t="s">
        <v>1145</v>
      </c>
      <c r="H291" s="2" t="s">
        <v>873</v>
      </c>
      <c r="I291" s="2" t="s">
        <v>51</v>
      </c>
      <c r="J291" s="3">
        <v>39984</v>
      </c>
      <c r="K291" s="2">
        <v>1007</v>
      </c>
      <c r="L291" s="2"/>
      <c r="M291" s="2">
        <v>160</v>
      </c>
      <c r="N291" s="2">
        <v>158</v>
      </c>
      <c r="O291" s="2" t="s">
        <v>6</v>
      </c>
      <c r="P291" s="2" t="s">
        <v>52</v>
      </c>
      <c r="Q291" s="2"/>
      <c r="R291" s="2" t="s">
        <v>53</v>
      </c>
      <c r="S291" s="2">
        <v>8210302201</v>
      </c>
      <c r="T291" s="2" t="s">
        <v>1146</v>
      </c>
      <c r="U291" s="2" t="s">
        <v>1138</v>
      </c>
      <c r="V291" s="2">
        <v>9950193738</v>
      </c>
      <c r="W291" s="2" t="s">
        <v>956</v>
      </c>
      <c r="X291" s="2">
        <v>36000</v>
      </c>
      <c r="Y291" s="2" t="s">
        <v>55</v>
      </c>
      <c r="Z291" s="2" t="s">
        <v>55</v>
      </c>
      <c r="AA291" s="2" t="s">
        <v>56</v>
      </c>
      <c r="AB291" s="2">
        <v>16</v>
      </c>
      <c r="AC291" s="2" t="s">
        <v>57</v>
      </c>
      <c r="AD291" s="2">
        <v>0</v>
      </c>
    </row>
    <row r="292" spans="1:30" ht="30" x14ac:dyDescent="0.25">
      <c r="A292" s="2">
        <v>10</v>
      </c>
      <c r="B292" s="2" t="s">
        <v>49</v>
      </c>
      <c r="C292" s="2">
        <v>671</v>
      </c>
      <c r="D292" s="3">
        <v>44272</v>
      </c>
      <c r="E292" s="2" t="s">
        <v>1147</v>
      </c>
      <c r="F292" s="2"/>
      <c r="G292" s="2" t="s">
        <v>1148</v>
      </c>
      <c r="H292" s="2" t="s">
        <v>1149</v>
      </c>
      <c r="I292" s="2" t="s">
        <v>67</v>
      </c>
      <c r="J292" s="3">
        <v>39745</v>
      </c>
      <c r="K292" s="2">
        <v>1008</v>
      </c>
      <c r="L292" s="2"/>
      <c r="M292" s="2">
        <v>160</v>
      </c>
      <c r="N292" s="2">
        <v>139</v>
      </c>
      <c r="O292" s="2" t="s">
        <v>6</v>
      </c>
      <c r="P292" s="2" t="s">
        <v>52</v>
      </c>
      <c r="Q292" s="2"/>
      <c r="R292" s="2" t="s">
        <v>53</v>
      </c>
      <c r="S292" s="2">
        <v>8210302201</v>
      </c>
      <c r="T292" s="2" t="s">
        <v>1150</v>
      </c>
      <c r="U292" s="2"/>
      <c r="V292" s="2">
        <v>9680178520</v>
      </c>
      <c r="W292" s="2" t="s">
        <v>461</v>
      </c>
      <c r="X292" s="2">
        <v>0</v>
      </c>
      <c r="Y292" s="2" t="s">
        <v>55</v>
      </c>
      <c r="Z292" s="2" t="s">
        <v>55</v>
      </c>
      <c r="AA292" s="2" t="s">
        <v>56</v>
      </c>
      <c r="AB292" s="2">
        <v>17</v>
      </c>
      <c r="AC292" s="2" t="s">
        <v>57</v>
      </c>
      <c r="AD292" s="2">
        <v>3</v>
      </c>
    </row>
    <row r="293" spans="1:30" ht="30" x14ac:dyDescent="0.25">
      <c r="A293" s="2">
        <v>10</v>
      </c>
      <c r="B293" s="2" t="s">
        <v>49</v>
      </c>
      <c r="C293" s="2">
        <v>861</v>
      </c>
      <c r="D293" s="3">
        <v>45140</v>
      </c>
      <c r="E293" s="2" t="s">
        <v>1151</v>
      </c>
      <c r="F293" s="2"/>
      <c r="G293" s="2" t="s">
        <v>1152</v>
      </c>
      <c r="H293" s="2" t="s">
        <v>1153</v>
      </c>
      <c r="I293" s="2" t="s">
        <v>67</v>
      </c>
      <c r="J293" s="3">
        <v>39946</v>
      </c>
      <c r="K293" s="2">
        <v>1009</v>
      </c>
      <c r="L293" s="2"/>
      <c r="M293" s="2">
        <v>160</v>
      </c>
      <c r="N293" s="2">
        <v>139</v>
      </c>
      <c r="O293" s="2" t="s">
        <v>6</v>
      </c>
      <c r="P293" s="2" t="s">
        <v>543</v>
      </c>
      <c r="Q293" s="2"/>
      <c r="R293" s="2" t="s">
        <v>53</v>
      </c>
      <c r="S293" s="2">
        <v>8210302201</v>
      </c>
      <c r="T293" s="2" t="s">
        <v>1154</v>
      </c>
      <c r="U293" s="2" t="s">
        <v>1155</v>
      </c>
      <c r="V293" s="2">
        <v>7976550858</v>
      </c>
      <c r="W293" s="2" t="s">
        <v>1156</v>
      </c>
      <c r="X293" s="2">
        <v>45000</v>
      </c>
      <c r="Y293" s="2" t="s">
        <v>55</v>
      </c>
      <c r="Z293" s="2" t="s">
        <v>55</v>
      </c>
      <c r="AA293" s="2" t="s">
        <v>546</v>
      </c>
      <c r="AB293" s="2">
        <v>16</v>
      </c>
      <c r="AC293" s="2" t="s">
        <v>57</v>
      </c>
      <c r="AD293" s="2">
        <v>1</v>
      </c>
    </row>
    <row r="294" spans="1:30" ht="30" x14ac:dyDescent="0.25">
      <c r="A294" s="2">
        <v>10</v>
      </c>
      <c r="B294" s="2" t="s">
        <v>49</v>
      </c>
      <c r="C294" s="2">
        <v>243</v>
      </c>
      <c r="D294" s="2"/>
      <c r="E294" s="2" t="s">
        <v>1157</v>
      </c>
      <c r="F294" s="2"/>
      <c r="G294" s="2" t="s">
        <v>1158</v>
      </c>
      <c r="H294" s="2" t="s">
        <v>1159</v>
      </c>
      <c r="I294" s="2" t="s">
        <v>67</v>
      </c>
      <c r="J294" s="3">
        <v>39549</v>
      </c>
      <c r="K294" s="2">
        <v>1010</v>
      </c>
      <c r="L294" s="2"/>
      <c r="M294" s="2">
        <v>160</v>
      </c>
      <c r="N294" s="2">
        <v>146</v>
      </c>
      <c r="O294" s="2" t="s">
        <v>6</v>
      </c>
      <c r="P294" s="2" t="s">
        <v>52</v>
      </c>
      <c r="Q294" s="2"/>
      <c r="R294" s="2" t="s">
        <v>53</v>
      </c>
      <c r="S294" s="2">
        <v>8210302201</v>
      </c>
      <c r="T294" s="2" t="s">
        <v>1160</v>
      </c>
      <c r="U294" s="2" t="s">
        <v>1129</v>
      </c>
      <c r="V294" s="2">
        <v>9001131547</v>
      </c>
      <c r="W294" s="2" t="s">
        <v>956</v>
      </c>
      <c r="X294" s="2">
        <v>50000</v>
      </c>
      <c r="Y294" s="2" t="s">
        <v>55</v>
      </c>
      <c r="Z294" s="2" t="s">
        <v>55</v>
      </c>
      <c r="AA294" s="2" t="s">
        <v>56</v>
      </c>
      <c r="AB294" s="2">
        <v>17</v>
      </c>
      <c r="AC294" s="2" t="s">
        <v>57</v>
      </c>
      <c r="AD294" s="2">
        <v>0</v>
      </c>
    </row>
    <row r="295" spans="1:30" ht="30" x14ac:dyDescent="0.25">
      <c r="A295" s="2">
        <v>10</v>
      </c>
      <c r="B295" s="2" t="s">
        <v>49</v>
      </c>
      <c r="C295" s="2">
        <v>815</v>
      </c>
      <c r="D295" s="3">
        <v>45114</v>
      </c>
      <c r="E295" s="2" t="s">
        <v>1161</v>
      </c>
      <c r="F295" s="2"/>
      <c r="G295" s="2" t="s">
        <v>1162</v>
      </c>
      <c r="H295" s="2" t="s">
        <v>1163</v>
      </c>
      <c r="I295" s="2" t="s">
        <v>51</v>
      </c>
      <c r="J295" s="3">
        <v>40189</v>
      </c>
      <c r="K295" s="2">
        <v>1011</v>
      </c>
      <c r="L295" s="2"/>
      <c r="M295" s="2">
        <v>160</v>
      </c>
      <c r="N295" s="2">
        <v>160</v>
      </c>
      <c r="O295" s="2" t="s">
        <v>6</v>
      </c>
      <c r="P295" s="2"/>
      <c r="Q295" s="2"/>
      <c r="R295" s="2" t="s">
        <v>53</v>
      </c>
      <c r="S295" s="2">
        <v>8210302201</v>
      </c>
      <c r="T295" s="2" t="s">
        <v>1164</v>
      </c>
      <c r="U295" s="2"/>
      <c r="V295" s="2">
        <v>9680834313</v>
      </c>
      <c r="W295" s="2"/>
      <c r="X295" s="2"/>
      <c r="Y295" s="2" t="s">
        <v>55</v>
      </c>
      <c r="Z295" s="2" t="s">
        <v>190</v>
      </c>
      <c r="AA295" s="2"/>
      <c r="AB295" s="2">
        <v>15</v>
      </c>
      <c r="AC295" s="2"/>
      <c r="AD295" s="2">
        <v>0</v>
      </c>
    </row>
    <row r="296" spans="1:30" ht="30" x14ac:dyDescent="0.25">
      <c r="A296" s="2">
        <v>10</v>
      </c>
      <c r="B296" s="2" t="s">
        <v>49</v>
      </c>
      <c r="C296" s="2">
        <v>426</v>
      </c>
      <c r="D296" s="3">
        <v>42923</v>
      </c>
      <c r="E296" s="2" t="s">
        <v>1165</v>
      </c>
      <c r="F296" s="2"/>
      <c r="G296" s="2" t="s">
        <v>1166</v>
      </c>
      <c r="H296" s="2" t="s">
        <v>1167</v>
      </c>
      <c r="I296" s="2" t="s">
        <v>67</v>
      </c>
      <c r="J296" s="3">
        <v>39994</v>
      </c>
      <c r="K296" s="2">
        <v>1012</v>
      </c>
      <c r="L296" s="2"/>
      <c r="M296" s="2">
        <v>160</v>
      </c>
      <c r="N296" s="2">
        <v>156</v>
      </c>
      <c r="O296" s="2" t="s">
        <v>6</v>
      </c>
      <c r="P296" s="2" t="s">
        <v>52</v>
      </c>
      <c r="Q296" s="2"/>
      <c r="R296" s="2" t="s">
        <v>53</v>
      </c>
      <c r="S296" s="2">
        <v>8210302201</v>
      </c>
      <c r="T296" s="2" t="s">
        <v>1168</v>
      </c>
      <c r="U296" s="2" t="s">
        <v>1169</v>
      </c>
      <c r="V296" s="2">
        <v>9460361075</v>
      </c>
      <c r="W296" s="2" t="s">
        <v>796</v>
      </c>
      <c r="X296" s="2">
        <v>60000</v>
      </c>
      <c r="Y296" s="2" t="s">
        <v>55</v>
      </c>
      <c r="Z296" s="2" t="s">
        <v>55</v>
      </c>
      <c r="AA296" s="2" t="s">
        <v>56</v>
      </c>
      <c r="AB296" s="2">
        <v>16</v>
      </c>
      <c r="AC296" s="2" t="s">
        <v>57</v>
      </c>
      <c r="AD296" s="2">
        <v>0</v>
      </c>
    </row>
    <row r="297" spans="1:30" ht="30" x14ac:dyDescent="0.25">
      <c r="A297" s="2">
        <v>10</v>
      </c>
      <c r="B297" s="2" t="s">
        <v>49</v>
      </c>
      <c r="C297" s="2">
        <v>663</v>
      </c>
      <c r="D297" s="3">
        <v>44249</v>
      </c>
      <c r="E297" s="2" t="s">
        <v>1170</v>
      </c>
      <c r="F297" s="2"/>
      <c r="G297" s="2" t="s">
        <v>1171</v>
      </c>
      <c r="H297" s="2" t="s">
        <v>1172</v>
      </c>
      <c r="I297" s="2" t="s">
        <v>67</v>
      </c>
      <c r="J297" s="3">
        <v>40004</v>
      </c>
      <c r="K297" s="2">
        <v>1013</v>
      </c>
      <c r="L297" s="2"/>
      <c r="M297" s="2">
        <v>160</v>
      </c>
      <c r="N297" s="2">
        <v>148</v>
      </c>
      <c r="O297" s="2" t="s">
        <v>6</v>
      </c>
      <c r="P297" s="2"/>
      <c r="Q297" s="2"/>
      <c r="R297" s="2" t="s">
        <v>53</v>
      </c>
      <c r="S297" s="2">
        <v>8210302201</v>
      </c>
      <c r="T297" s="2" t="s">
        <v>1173</v>
      </c>
      <c r="U297" s="2"/>
      <c r="V297" s="2">
        <v>9928591989</v>
      </c>
      <c r="W297" s="2" t="s">
        <v>201</v>
      </c>
      <c r="X297" s="2">
        <v>50000</v>
      </c>
      <c r="Y297" s="2" t="s">
        <v>55</v>
      </c>
      <c r="Z297" s="2" t="s">
        <v>55</v>
      </c>
      <c r="AA297" s="2"/>
      <c r="AB297" s="2">
        <v>16</v>
      </c>
      <c r="AC297" s="2" t="s">
        <v>57</v>
      </c>
      <c r="AD297" s="2">
        <v>0</v>
      </c>
    </row>
    <row r="298" spans="1:30" ht="30" x14ac:dyDescent="0.25">
      <c r="A298" s="2">
        <v>10</v>
      </c>
      <c r="B298" s="2" t="s">
        <v>49</v>
      </c>
      <c r="C298" s="2">
        <v>521</v>
      </c>
      <c r="D298" s="3">
        <v>43305</v>
      </c>
      <c r="E298" s="2" t="s">
        <v>1174</v>
      </c>
      <c r="F298" s="2"/>
      <c r="G298" s="2" t="s">
        <v>1175</v>
      </c>
      <c r="H298" s="2" t="s">
        <v>1176</v>
      </c>
      <c r="I298" s="2" t="s">
        <v>67</v>
      </c>
      <c r="J298" s="3">
        <v>39701</v>
      </c>
      <c r="K298" s="2">
        <v>1014</v>
      </c>
      <c r="L298" s="2"/>
      <c r="M298" s="2">
        <v>160</v>
      </c>
      <c r="N298" s="2">
        <v>87</v>
      </c>
      <c r="O298" s="2" t="s">
        <v>6</v>
      </c>
      <c r="P298" s="2" t="s">
        <v>52</v>
      </c>
      <c r="Q298" s="2"/>
      <c r="R298" s="2" t="s">
        <v>53</v>
      </c>
      <c r="S298" s="2">
        <v>8210302201</v>
      </c>
      <c r="T298" s="2" t="s">
        <v>1177</v>
      </c>
      <c r="U298" s="2" t="s">
        <v>1178</v>
      </c>
      <c r="V298" s="2">
        <v>9999999999</v>
      </c>
      <c r="W298" s="2" t="s">
        <v>815</v>
      </c>
      <c r="X298" s="2">
        <v>40000</v>
      </c>
      <c r="Y298" s="2" t="s">
        <v>55</v>
      </c>
      <c r="Z298" s="2" t="s">
        <v>55</v>
      </c>
      <c r="AA298" s="2" t="s">
        <v>56</v>
      </c>
      <c r="AB298" s="2">
        <v>17</v>
      </c>
      <c r="AC298" s="2" t="s">
        <v>57</v>
      </c>
      <c r="AD298" s="2">
        <v>0</v>
      </c>
    </row>
    <row r="299" spans="1:30" ht="30" x14ac:dyDescent="0.25">
      <c r="A299" s="2">
        <v>10</v>
      </c>
      <c r="B299" s="2" t="s">
        <v>49</v>
      </c>
      <c r="C299" s="2">
        <v>600</v>
      </c>
      <c r="D299" s="3">
        <v>43699</v>
      </c>
      <c r="E299" s="2" t="s">
        <v>1179</v>
      </c>
      <c r="F299" s="2"/>
      <c r="G299" s="2" t="s">
        <v>1180</v>
      </c>
      <c r="H299" s="2" t="s">
        <v>1181</v>
      </c>
      <c r="I299" s="2" t="s">
        <v>51</v>
      </c>
      <c r="J299" s="3">
        <v>40008</v>
      </c>
      <c r="K299" s="2">
        <v>1015</v>
      </c>
      <c r="L299" s="2"/>
      <c r="M299" s="2">
        <v>160</v>
      </c>
      <c r="N299" s="2">
        <v>153</v>
      </c>
      <c r="O299" s="2" t="s">
        <v>6</v>
      </c>
      <c r="P299" s="2" t="s">
        <v>52</v>
      </c>
      <c r="Q299" s="2"/>
      <c r="R299" s="2" t="s">
        <v>53</v>
      </c>
      <c r="S299" s="2">
        <v>8210302201</v>
      </c>
      <c r="T299" s="2" t="s">
        <v>1182</v>
      </c>
      <c r="U299" s="2"/>
      <c r="V299" s="2">
        <v>7297014852</v>
      </c>
      <c r="W299" s="2" t="s">
        <v>201</v>
      </c>
      <c r="X299" s="2">
        <v>50000</v>
      </c>
      <c r="Y299" s="2" t="s">
        <v>55</v>
      </c>
      <c r="Z299" s="2" t="s">
        <v>55</v>
      </c>
      <c r="AA299" s="2" t="s">
        <v>56</v>
      </c>
      <c r="AB299" s="2">
        <v>16</v>
      </c>
      <c r="AC299" s="2" t="s">
        <v>57</v>
      </c>
      <c r="AD299" s="2">
        <v>0</v>
      </c>
    </row>
    <row r="300" spans="1:30" ht="30" x14ac:dyDescent="0.25">
      <c r="A300" s="2">
        <v>10</v>
      </c>
      <c r="B300" s="2" t="s">
        <v>49</v>
      </c>
      <c r="C300" s="2">
        <v>299</v>
      </c>
      <c r="D300" s="2"/>
      <c r="E300" s="2" t="s">
        <v>837</v>
      </c>
      <c r="F300" s="2"/>
      <c r="G300" s="2" t="s">
        <v>1183</v>
      </c>
      <c r="H300" s="2" t="s">
        <v>592</v>
      </c>
      <c r="I300" s="2" t="s">
        <v>67</v>
      </c>
      <c r="J300" s="3">
        <v>40027</v>
      </c>
      <c r="K300" s="2">
        <v>1016</v>
      </c>
      <c r="L300" s="2"/>
      <c r="M300" s="2">
        <v>160</v>
      </c>
      <c r="N300" s="2">
        <v>152</v>
      </c>
      <c r="O300" s="2" t="s">
        <v>6</v>
      </c>
      <c r="P300" s="2" t="s">
        <v>52</v>
      </c>
      <c r="Q300" s="2"/>
      <c r="R300" s="2" t="s">
        <v>53</v>
      </c>
      <c r="S300" s="2">
        <v>8210302201</v>
      </c>
      <c r="T300" s="2" t="s">
        <v>1184</v>
      </c>
      <c r="U300" s="2" t="s">
        <v>1185</v>
      </c>
      <c r="V300" s="2">
        <v>9950773319</v>
      </c>
      <c r="W300" s="2" t="s">
        <v>956</v>
      </c>
      <c r="X300" s="2">
        <v>36000</v>
      </c>
      <c r="Y300" s="2" t="s">
        <v>55</v>
      </c>
      <c r="Z300" s="2" t="s">
        <v>55</v>
      </c>
      <c r="AA300" s="2" t="s">
        <v>56</v>
      </c>
      <c r="AB300" s="2">
        <v>16</v>
      </c>
      <c r="AC300" s="2" t="s">
        <v>57</v>
      </c>
      <c r="AD300" s="2">
        <v>0</v>
      </c>
    </row>
    <row r="301" spans="1:30" ht="30" x14ac:dyDescent="0.25">
      <c r="A301" s="2">
        <v>10</v>
      </c>
      <c r="B301" s="2" t="s">
        <v>49</v>
      </c>
      <c r="C301" s="2">
        <v>393</v>
      </c>
      <c r="D301" s="3">
        <v>42917</v>
      </c>
      <c r="E301" s="2" t="s">
        <v>1186</v>
      </c>
      <c r="F301" s="2"/>
      <c r="G301" s="2" t="s">
        <v>1030</v>
      </c>
      <c r="H301" s="2" t="s">
        <v>839</v>
      </c>
      <c r="I301" s="2" t="s">
        <v>51</v>
      </c>
      <c r="J301" s="3">
        <v>39644</v>
      </c>
      <c r="K301" s="2">
        <v>1017</v>
      </c>
      <c r="L301" s="2"/>
      <c r="M301" s="2">
        <v>160</v>
      </c>
      <c r="N301" s="2">
        <v>154</v>
      </c>
      <c r="O301" s="2" t="s">
        <v>6</v>
      </c>
      <c r="P301" s="2" t="s">
        <v>52</v>
      </c>
      <c r="Q301" s="2"/>
      <c r="R301" s="2" t="s">
        <v>53</v>
      </c>
      <c r="S301" s="2">
        <v>8210302201</v>
      </c>
      <c r="T301" s="2" t="s">
        <v>1187</v>
      </c>
      <c r="U301" s="2" t="s">
        <v>1188</v>
      </c>
      <c r="V301" s="2">
        <v>9460103675</v>
      </c>
      <c r="W301" s="2" t="s">
        <v>796</v>
      </c>
      <c r="X301" s="2">
        <v>48000</v>
      </c>
      <c r="Y301" s="2" t="s">
        <v>55</v>
      </c>
      <c r="Z301" s="2" t="s">
        <v>55</v>
      </c>
      <c r="AA301" s="2" t="s">
        <v>56</v>
      </c>
      <c r="AB301" s="2">
        <v>17</v>
      </c>
      <c r="AC301" s="2" t="s">
        <v>57</v>
      </c>
      <c r="AD301" s="2">
        <v>0</v>
      </c>
    </row>
    <row r="302" spans="1:30" ht="30" x14ac:dyDescent="0.25">
      <c r="A302" s="2">
        <v>10</v>
      </c>
      <c r="B302" s="2" t="s">
        <v>49</v>
      </c>
      <c r="C302" s="2">
        <v>785</v>
      </c>
      <c r="D302" s="3">
        <v>44764</v>
      </c>
      <c r="E302" s="2" t="s">
        <v>1189</v>
      </c>
      <c r="F302" s="2"/>
      <c r="G302" s="2" t="s">
        <v>963</v>
      </c>
      <c r="H302" s="2" t="s">
        <v>1190</v>
      </c>
      <c r="I302" s="2" t="s">
        <v>51</v>
      </c>
      <c r="J302" s="3">
        <v>38906</v>
      </c>
      <c r="K302" s="2">
        <v>1018</v>
      </c>
      <c r="L302" s="2"/>
      <c r="M302" s="2">
        <v>160</v>
      </c>
      <c r="N302" s="2">
        <v>93</v>
      </c>
      <c r="O302" s="2" t="s">
        <v>6</v>
      </c>
      <c r="P302" s="2" t="s">
        <v>52</v>
      </c>
      <c r="Q302" s="2"/>
      <c r="R302" s="2" t="s">
        <v>53</v>
      </c>
      <c r="S302" s="2">
        <v>8210302201</v>
      </c>
      <c r="T302" s="2" t="s">
        <v>1191</v>
      </c>
      <c r="U302" s="2" t="s">
        <v>1192</v>
      </c>
      <c r="V302" s="2">
        <v>7424969869</v>
      </c>
      <c r="W302" s="2" t="s">
        <v>956</v>
      </c>
      <c r="X302" s="2">
        <v>46000</v>
      </c>
      <c r="Y302" s="2" t="s">
        <v>55</v>
      </c>
      <c r="Z302" s="2" t="s">
        <v>55</v>
      </c>
      <c r="AA302" s="2" t="s">
        <v>56</v>
      </c>
      <c r="AB302" s="2">
        <v>19</v>
      </c>
      <c r="AC302" s="2" t="s">
        <v>57</v>
      </c>
      <c r="AD302" s="2">
        <v>0</v>
      </c>
    </row>
    <row r="303" spans="1:30" ht="30" x14ac:dyDescent="0.25">
      <c r="A303" s="2">
        <v>10</v>
      </c>
      <c r="B303" s="2" t="s">
        <v>49</v>
      </c>
      <c r="C303" s="2">
        <v>595</v>
      </c>
      <c r="D303" s="3">
        <v>43679</v>
      </c>
      <c r="E303" s="2" t="s">
        <v>1193</v>
      </c>
      <c r="F303" s="2" t="s">
        <v>790</v>
      </c>
      <c r="G303" s="2" t="s">
        <v>1194</v>
      </c>
      <c r="H303" s="2" t="s">
        <v>634</v>
      </c>
      <c r="I303" s="2" t="s">
        <v>67</v>
      </c>
      <c r="J303" s="3">
        <v>39265</v>
      </c>
      <c r="K303" s="2">
        <v>1019</v>
      </c>
      <c r="L303" s="2"/>
      <c r="M303" s="2">
        <v>160</v>
      </c>
      <c r="N303" s="2">
        <v>146</v>
      </c>
      <c r="O303" s="2" t="s">
        <v>6</v>
      </c>
      <c r="P303" s="2" t="s">
        <v>52</v>
      </c>
      <c r="Q303" s="2"/>
      <c r="R303" s="2" t="s">
        <v>53</v>
      </c>
      <c r="S303" s="2">
        <v>8210302201</v>
      </c>
      <c r="T303" s="2" t="s">
        <v>1195</v>
      </c>
      <c r="U303" s="2"/>
      <c r="V303" s="2">
        <v>7742459117</v>
      </c>
      <c r="W303" s="2" t="s">
        <v>467</v>
      </c>
      <c r="X303" s="2">
        <v>36000</v>
      </c>
      <c r="Y303" s="2" t="s">
        <v>55</v>
      </c>
      <c r="Z303" s="2" t="s">
        <v>55</v>
      </c>
      <c r="AA303" s="2" t="s">
        <v>56</v>
      </c>
      <c r="AB303" s="2">
        <v>18</v>
      </c>
      <c r="AC303" s="2" t="s">
        <v>57</v>
      </c>
      <c r="AD303" s="2">
        <v>0</v>
      </c>
    </row>
    <row r="304" spans="1:30" ht="30" x14ac:dyDescent="0.25">
      <c r="A304" s="2">
        <v>10</v>
      </c>
      <c r="B304" s="2" t="s">
        <v>49</v>
      </c>
      <c r="C304" s="2">
        <v>260</v>
      </c>
      <c r="D304" s="2"/>
      <c r="E304" s="2" t="s">
        <v>1015</v>
      </c>
      <c r="F304" s="2"/>
      <c r="G304" s="2" t="s">
        <v>912</v>
      </c>
      <c r="H304" s="2" t="s">
        <v>913</v>
      </c>
      <c r="I304" s="2" t="s">
        <v>51</v>
      </c>
      <c r="J304" s="3">
        <v>40183</v>
      </c>
      <c r="K304" s="2">
        <v>1020</v>
      </c>
      <c r="L304" s="2"/>
      <c r="M304" s="2">
        <v>160</v>
      </c>
      <c r="N304" s="2">
        <v>160</v>
      </c>
      <c r="O304" s="2" t="s">
        <v>6</v>
      </c>
      <c r="P304" s="2" t="s">
        <v>52</v>
      </c>
      <c r="Q304" s="2"/>
      <c r="R304" s="2" t="s">
        <v>53</v>
      </c>
      <c r="S304" s="2">
        <v>8210302201</v>
      </c>
      <c r="T304" s="2" t="s">
        <v>1196</v>
      </c>
      <c r="U304" s="2" t="s">
        <v>915</v>
      </c>
      <c r="V304" s="2">
        <v>9001840492</v>
      </c>
      <c r="W304" s="2" t="s">
        <v>956</v>
      </c>
      <c r="X304" s="2">
        <v>36000</v>
      </c>
      <c r="Y304" s="2" t="s">
        <v>55</v>
      </c>
      <c r="Z304" s="2" t="s">
        <v>55</v>
      </c>
      <c r="AA304" s="2" t="s">
        <v>56</v>
      </c>
      <c r="AB304" s="2">
        <v>15</v>
      </c>
      <c r="AC304" s="2" t="s">
        <v>57</v>
      </c>
      <c r="AD304" s="2">
        <v>0</v>
      </c>
    </row>
    <row r="305" spans="1:30" ht="30" x14ac:dyDescent="0.25">
      <c r="A305" s="2">
        <v>10</v>
      </c>
      <c r="B305" s="2" t="s">
        <v>49</v>
      </c>
      <c r="C305" s="2">
        <v>300</v>
      </c>
      <c r="D305" s="3">
        <v>42193</v>
      </c>
      <c r="E305" s="2" t="s">
        <v>1197</v>
      </c>
      <c r="F305" s="2"/>
      <c r="G305" s="2" t="s">
        <v>864</v>
      </c>
      <c r="H305" s="2" t="s">
        <v>704</v>
      </c>
      <c r="I305" s="2" t="s">
        <v>51</v>
      </c>
      <c r="J305" s="3">
        <v>40000</v>
      </c>
      <c r="K305" s="2">
        <v>1021</v>
      </c>
      <c r="L305" s="2"/>
      <c r="M305" s="2">
        <v>160</v>
      </c>
      <c r="N305" s="2">
        <v>160</v>
      </c>
      <c r="O305" s="2" t="s">
        <v>6</v>
      </c>
      <c r="P305" s="2" t="s">
        <v>52</v>
      </c>
      <c r="Q305" s="2"/>
      <c r="R305" s="2" t="s">
        <v>53</v>
      </c>
      <c r="S305" s="2">
        <v>8210302201</v>
      </c>
      <c r="T305" s="2" t="s">
        <v>1198</v>
      </c>
      <c r="U305" s="2" t="s">
        <v>1199</v>
      </c>
      <c r="V305" s="2">
        <v>9799240138</v>
      </c>
      <c r="W305" s="2" t="s">
        <v>956</v>
      </c>
      <c r="X305" s="2">
        <v>48000</v>
      </c>
      <c r="Y305" s="2" t="s">
        <v>55</v>
      </c>
      <c r="Z305" s="2" t="s">
        <v>55</v>
      </c>
      <c r="AA305" s="2" t="s">
        <v>56</v>
      </c>
      <c r="AB305" s="2">
        <v>16</v>
      </c>
      <c r="AC305" s="2" t="s">
        <v>57</v>
      </c>
      <c r="AD305" s="2">
        <v>0</v>
      </c>
    </row>
    <row r="306" spans="1:30" ht="30" x14ac:dyDescent="0.25">
      <c r="A306" s="2">
        <v>10</v>
      </c>
      <c r="B306" s="2" t="s">
        <v>49</v>
      </c>
      <c r="C306" s="2">
        <v>834</v>
      </c>
      <c r="D306" s="3">
        <v>45120</v>
      </c>
      <c r="E306" s="2" t="s">
        <v>1200</v>
      </c>
      <c r="F306" s="2"/>
      <c r="G306" s="2" t="s">
        <v>1201</v>
      </c>
      <c r="H306" s="2" t="s">
        <v>1202</v>
      </c>
      <c r="I306" s="2" t="s">
        <v>51</v>
      </c>
      <c r="J306" s="3">
        <v>39681</v>
      </c>
      <c r="K306" s="2">
        <v>1022</v>
      </c>
      <c r="L306" s="2"/>
      <c r="M306" s="2">
        <v>160</v>
      </c>
      <c r="N306" s="2">
        <v>154</v>
      </c>
      <c r="O306" s="2" t="s">
        <v>6</v>
      </c>
      <c r="P306" s="2" t="s">
        <v>543</v>
      </c>
      <c r="Q306" s="2"/>
      <c r="R306" s="2" t="s">
        <v>53</v>
      </c>
      <c r="S306" s="2">
        <v>8210302201</v>
      </c>
      <c r="T306" s="2" t="s">
        <v>1203</v>
      </c>
      <c r="U306" s="2"/>
      <c r="V306" s="2">
        <v>9950797220</v>
      </c>
      <c r="W306" s="2" t="s">
        <v>1204</v>
      </c>
      <c r="X306" s="2">
        <v>48000</v>
      </c>
      <c r="Y306" s="2" t="s">
        <v>55</v>
      </c>
      <c r="Z306" s="2" t="s">
        <v>55</v>
      </c>
      <c r="AA306" s="2" t="s">
        <v>546</v>
      </c>
      <c r="AB306" s="2">
        <v>17</v>
      </c>
      <c r="AC306" s="2" t="s">
        <v>57</v>
      </c>
      <c r="AD306" s="2">
        <v>1</v>
      </c>
    </row>
    <row r="307" spans="1:30" ht="30" x14ac:dyDescent="0.25">
      <c r="A307" s="2">
        <v>10</v>
      </c>
      <c r="B307" s="2" t="s">
        <v>49</v>
      </c>
      <c r="C307" s="2">
        <v>336</v>
      </c>
      <c r="D307" s="3">
        <v>42553</v>
      </c>
      <c r="E307" s="2" t="s">
        <v>1205</v>
      </c>
      <c r="F307" s="2"/>
      <c r="G307" s="2" t="s">
        <v>1170</v>
      </c>
      <c r="H307" s="2" t="s">
        <v>891</v>
      </c>
      <c r="I307" s="2" t="s">
        <v>51</v>
      </c>
      <c r="J307" s="3">
        <v>39859</v>
      </c>
      <c r="K307" s="2">
        <v>1023</v>
      </c>
      <c r="L307" s="2"/>
      <c r="M307" s="2">
        <v>160</v>
      </c>
      <c r="N307" s="2">
        <v>158</v>
      </c>
      <c r="O307" s="2" t="s">
        <v>6</v>
      </c>
      <c r="P307" s="2" t="s">
        <v>52</v>
      </c>
      <c r="Q307" s="2"/>
      <c r="R307" s="2" t="s">
        <v>53</v>
      </c>
      <c r="S307" s="2">
        <v>8210302201</v>
      </c>
      <c r="T307" s="2" t="s">
        <v>1206</v>
      </c>
      <c r="U307" s="2" t="s">
        <v>893</v>
      </c>
      <c r="V307" s="2">
        <v>9799346348</v>
      </c>
      <c r="W307" s="2" t="s">
        <v>1207</v>
      </c>
      <c r="X307" s="2">
        <v>62000</v>
      </c>
      <c r="Y307" s="2" t="s">
        <v>55</v>
      </c>
      <c r="Z307" s="2" t="s">
        <v>55</v>
      </c>
      <c r="AA307" s="2" t="s">
        <v>56</v>
      </c>
      <c r="AB307" s="2">
        <v>16</v>
      </c>
      <c r="AC307" s="2" t="s">
        <v>57</v>
      </c>
      <c r="AD307" s="2">
        <v>3</v>
      </c>
    </row>
    <row r="308" spans="1:30" ht="30" x14ac:dyDescent="0.25">
      <c r="A308" s="2">
        <v>10</v>
      </c>
      <c r="B308" s="2" t="s">
        <v>49</v>
      </c>
      <c r="C308" s="2">
        <v>764</v>
      </c>
      <c r="D308" s="3">
        <v>44747</v>
      </c>
      <c r="E308" s="2" t="s">
        <v>1208</v>
      </c>
      <c r="F308" s="2"/>
      <c r="G308" s="2" t="s">
        <v>1209</v>
      </c>
      <c r="H308" s="2" t="s">
        <v>535</v>
      </c>
      <c r="I308" s="2" t="s">
        <v>67</v>
      </c>
      <c r="J308" s="3">
        <v>40033</v>
      </c>
      <c r="K308" s="2">
        <v>1024</v>
      </c>
      <c r="L308" s="2"/>
      <c r="M308" s="2">
        <v>160</v>
      </c>
      <c r="N308" s="2">
        <v>152</v>
      </c>
      <c r="O308" s="2" t="s">
        <v>6</v>
      </c>
      <c r="P308" s="2" t="s">
        <v>52</v>
      </c>
      <c r="Q308" s="2"/>
      <c r="R308" s="2" t="s">
        <v>53</v>
      </c>
      <c r="S308" s="2">
        <v>8210302201</v>
      </c>
      <c r="T308" s="2" t="s">
        <v>1210</v>
      </c>
      <c r="U308" s="2" t="s">
        <v>1211</v>
      </c>
      <c r="V308" s="2">
        <v>7340134952</v>
      </c>
      <c r="W308" s="2" t="s">
        <v>1212</v>
      </c>
      <c r="X308" s="2">
        <v>60000</v>
      </c>
      <c r="Y308" s="2" t="s">
        <v>55</v>
      </c>
      <c r="Z308" s="2" t="s">
        <v>55</v>
      </c>
      <c r="AA308" s="2" t="s">
        <v>56</v>
      </c>
      <c r="AB308" s="2">
        <v>16</v>
      </c>
      <c r="AC308" s="2" t="s">
        <v>57</v>
      </c>
      <c r="AD308" s="2">
        <v>1</v>
      </c>
    </row>
    <row r="309" spans="1:30" ht="30" x14ac:dyDescent="0.25">
      <c r="A309" s="2">
        <v>10</v>
      </c>
      <c r="B309" s="2" t="s">
        <v>49</v>
      </c>
      <c r="C309" s="2">
        <v>345</v>
      </c>
      <c r="D309" s="3">
        <v>42555</v>
      </c>
      <c r="E309" s="2" t="s">
        <v>1213</v>
      </c>
      <c r="F309" s="2"/>
      <c r="G309" s="2" t="s">
        <v>1214</v>
      </c>
      <c r="H309" s="2" t="s">
        <v>1008</v>
      </c>
      <c r="I309" s="2" t="s">
        <v>67</v>
      </c>
      <c r="J309" s="3">
        <v>39550</v>
      </c>
      <c r="K309" s="2">
        <v>1025</v>
      </c>
      <c r="L309" s="2"/>
      <c r="M309" s="2">
        <v>160</v>
      </c>
      <c r="N309" s="2">
        <v>153</v>
      </c>
      <c r="O309" s="2" t="s">
        <v>6</v>
      </c>
      <c r="P309" s="2" t="s">
        <v>52</v>
      </c>
      <c r="Q309" s="2"/>
      <c r="R309" s="2" t="s">
        <v>53</v>
      </c>
      <c r="S309" s="2">
        <v>8210302201</v>
      </c>
      <c r="T309" s="2" t="s">
        <v>1215</v>
      </c>
      <c r="U309" s="2" t="s">
        <v>1216</v>
      </c>
      <c r="V309" s="2">
        <v>9660630181</v>
      </c>
      <c r="W309" s="2" t="s">
        <v>967</v>
      </c>
      <c r="X309" s="2">
        <v>60000</v>
      </c>
      <c r="Y309" s="2" t="s">
        <v>55</v>
      </c>
      <c r="Z309" s="2" t="s">
        <v>55</v>
      </c>
      <c r="AA309" s="2" t="s">
        <v>56</v>
      </c>
      <c r="AB309" s="2">
        <v>17</v>
      </c>
      <c r="AC309" s="2" t="s">
        <v>57</v>
      </c>
      <c r="AD309" s="2">
        <v>0</v>
      </c>
    </row>
    <row r="310" spans="1:30" ht="30" x14ac:dyDescent="0.25">
      <c r="A310" s="2">
        <v>10</v>
      </c>
      <c r="B310" s="2" t="s">
        <v>49</v>
      </c>
      <c r="C310" s="2">
        <v>508</v>
      </c>
      <c r="D310" s="3">
        <v>43292</v>
      </c>
      <c r="E310" s="2" t="s">
        <v>1217</v>
      </c>
      <c r="F310" s="2"/>
      <c r="G310" s="2" t="s">
        <v>708</v>
      </c>
      <c r="H310" s="2" t="s">
        <v>690</v>
      </c>
      <c r="I310" s="2" t="s">
        <v>51</v>
      </c>
      <c r="J310" s="3">
        <v>39666</v>
      </c>
      <c r="K310" s="2">
        <v>1026</v>
      </c>
      <c r="L310" s="2"/>
      <c r="M310" s="2">
        <v>160</v>
      </c>
      <c r="N310" s="2">
        <v>152</v>
      </c>
      <c r="O310" s="2" t="s">
        <v>6</v>
      </c>
      <c r="P310" s="2" t="s">
        <v>52</v>
      </c>
      <c r="Q310" s="2"/>
      <c r="R310" s="2" t="s">
        <v>53</v>
      </c>
      <c r="S310" s="2">
        <v>8210302201</v>
      </c>
      <c r="T310" s="2" t="s">
        <v>1218</v>
      </c>
      <c r="U310" s="2" t="s">
        <v>710</v>
      </c>
      <c r="V310" s="2">
        <v>9829798229</v>
      </c>
      <c r="W310" s="2" t="s">
        <v>815</v>
      </c>
      <c r="X310" s="2">
        <v>60000</v>
      </c>
      <c r="Y310" s="2" t="s">
        <v>55</v>
      </c>
      <c r="Z310" s="2" t="s">
        <v>55</v>
      </c>
      <c r="AA310" s="2" t="s">
        <v>56</v>
      </c>
      <c r="AB310" s="2">
        <v>17</v>
      </c>
      <c r="AC310" s="2" t="s">
        <v>57</v>
      </c>
      <c r="AD310" s="2">
        <v>0</v>
      </c>
    </row>
    <row r="311" spans="1:30" ht="30" x14ac:dyDescent="0.25">
      <c r="A311" s="2">
        <v>10</v>
      </c>
      <c r="B311" s="2" t="s">
        <v>49</v>
      </c>
      <c r="C311" s="2">
        <v>554</v>
      </c>
      <c r="D311" s="3">
        <v>43652</v>
      </c>
      <c r="E311" s="2" t="s">
        <v>1219</v>
      </c>
      <c r="F311" s="2"/>
      <c r="G311" s="2" t="s">
        <v>1220</v>
      </c>
      <c r="H311" s="2" t="s">
        <v>1221</v>
      </c>
      <c r="I311" s="2" t="s">
        <v>67</v>
      </c>
      <c r="J311" s="3">
        <v>40278</v>
      </c>
      <c r="K311" s="2">
        <v>1027</v>
      </c>
      <c r="L311" s="2"/>
      <c r="M311" s="2">
        <v>160</v>
      </c>
      <c r="N311" s="2">
        <v>155</v>
      </c>
      <c r="O311" s="2" t="s">
        <v>4</v>
      </c>
      <c r="P311" s="2" t="s">
        <v>52</v>
      </c>
      <c r="Q311" s="2"/>
      <c r="R311" s="2" t="s">
        <v>53</v>
      </c>
      <c r="S311" s="2">
        <v>8210302201</v>
      </c>
      <c r="T311" s="2" t="s">
        <v>1222</v>
      </c>
      <c r="U311" s="2" t="s">
        <v>1223</v>
      </c>
      <c r="V311" s="2">
        <v>9166341970</v>
      </c>
      <c r="W311" s="2" t="s">
        <v>1224</v>
      </c>
      <c r="X311" s="2">
        <v>50000</v>
      </c>
      <c r="Y311" s="2" t="s">
        <v>55</v>
      </c>
      <c r="Z311" s="2" t="s">
        <v>55</v>
      </c>
      <c r="AA311" s="2" t="s">
        <v>56</v>
      </c>
      <c r="AB311" s="2">
        <v>15</v>
      </c>
      <c r="AC311" s="2" t="s">
        <v>57</v>
      </c>
      <c r="AD311" s="2">
        <v>3</v>
      </c>
    </row>
    <row r="312" spans="1:30" ht="30" x14ac:dyDescent="0.25">
      <c r="A312" s="2">
        <v>10</v>
      </c>
      <c r="B312" s="2" t="s">
        <v>49</v>
      </c>
      <c r="C312" s="2">
        <v>917</v>
      </c>
      <c r="D312" s="3">
        <v>45518</v>
      </c>
      <c r="E312" s="2" t="s">
        <v>1225</v>
      </c>
      <c r="F312" s="2"/>
      <c r="G312" s="2" t="s">
        <v>1226</v>
      </c>
      <c r="H312" s="2" t="s">
        <v>1020</v>
      </c>
      <c r="I312" s="2" t="s">
        <v>51</v>
      </c>
      <c r="J312" s="3">
        <v>39814</v>
      </c>
      <c r="K312" s="2">
        <v>1028</v>
      </c>
      <c r="L312" s="2"/>
      <c r="M312" s="2">
        <v>160</v>
      </c>
      <c r="N312" s="2">
        <v>67</v>
      </c>
      <c r="O312" s="2" t="s">
        <v>6</v>
      </c>
      <c r="P312" s="2" t="s">
        <v>52</v>
      </c>
      <c r="Q312" s="2"/>
      <c r="R312" s="2" t="s">
        <v>53</v>
      </c>
      <c r="S312" s="2">
        <v>8210302201</v>
      </c>
      <c r="T312" s="2" t="s">
        <v>1227</v>
      </c>
      <c r="U312" s="2" t="s">
        <v>1228</v>
      </c>
      <c r="V312" s="2">
        <v>9928551738</v>
      </c>
      <c r="W312" s="2" t="s">
        <v>603</v>
      </c>
      <c r="X312" s="2">
        <v>0</v>
      </c>
      <c r="Y312" s="2" t="s">
        <v>55</v>
      </c>
      <c r="Z312" s="2" t="s">
        <v>55</v>
      </c>
      <c r="AA312" s="2" t="s">
        <v>56</v>
      </c>
      <c r="AB312" s="2">
        <v>16</v>
      </c>
      <c r="AC312" s="2" t="s">
        <v>57</v>
      </c>
      <c r="AD312" s="2">
        <v>0</v>
      </c>
    </row>
    <row r="313" spans="1:30" ht="30" x14ac:dyDescent="0.25">
      <c r="A313" s="2">
        <v>10</v>
      </c>
      <c r="B313" s="2" t="s">
        <v>49</v>
      </c>
      <c r="C313" s="2">
        <v>655</v>
      </c>
      <c r="D313" s="3">
        <v>44221</v>
      </c>
      <c r="E313" s="2" t="s">
        <v>1229</v>
      </c>
      <c r="F313" s="2"/>
      <c r="G313" s="2" t="s">
        <v>1230</v>
      </c>
      <c r="H313" s="2" t="s">
        <v>1231</v>
      </c>
      <c r="I313" s="2" t="s">
        <v>51</v>
      </c>
      <c r="J313" s="3">
        <v>40251</v>
      </c>
      <c r="K313" s="2">
        <v>1029</v>
      </c>
      <c r="L313" s="2"/>
      <c r="M313" s="2">
        <v>160</v>
      </c>
      <c r="N313" s="2">
        <v>148</v>
      </c>
      <c r="O313" s="2" t="s">
        <v>6</v>
      </c>
      <c r="P313" s="2" t="s">
        <v>52</v>
      </c>
      <c r="Q313" s="2"/>
      <c r="R313" s="2" t="s">
        <v>53</v>
      </c>
      <c r="S313" s="2">
        <v>8210302201</v>
      </c>
      <c r="T313" s="2" t="s">
        <v>1232</v>
      </c>
      <c r="U313" s="2"/>
      <c r="V313" s="2">
        <v>9928265756</v>
      </c>
      <c r="W313" s="2" t="s">
        <v>1233</v>
      </c>
      <c r="X313" s="2">
        <v>50000</v>
      </c>
      <c r="Y313" s="2" t="s">
        <v>55</v>
      </c>
      <c r="Z313" s="2" t="s">
        <v>55</v>
      </c>
      <c r="AA313" s="2" t="s">
        <v>56</v>
      </c>
      <c r="AB313" s="2">
        <v>15</v>
      </c>
      <c r="AC313" s="2" t="s">
        <v>57</v>
      </c>
      <c r="AD313" s="2">
        <v>3</v>
      </c>
    </row>
    <row r="314" spans="1:30" ht="30" x14ac:dyDescent="0.25">
      <c r="A314" s="2">
        <v>10</v>
      </c>
      <c r="B314" s="2" t="s">
        <v>49</v>
      </c>
      <c r="C314" s="2">
        <v>587</v>
      </c>
      <c r="D314" s="3">
        <v>43676</v>
      </c>
      <c r="E314" s="2" t="s">
        <v>1234</v>
      </c>
      <c r="F314" s="2"/>
      <c r="G314" s="2" t="s">
        <v>1235</v>
      </c>
      <c r="H314" s="2" t="s">
        <v>1236</v>
      </c>
      <c r="I314" s="2" t="s">
        <v>67</v>
      </c>
      <c r="J314" s="3">
        <v>39893</v>
      </c>
      <c r="K314" s="2">
        <v>1030</v>
      </c>
      <c r="L314" s="2"/>
      <c r="M314" s="2">
        <v>160</v>
      </c>
      <c r="N314" s="2">
        <v>81</v>
      </c>
      <c r="O314" s="2" t="s">
        <v>6</v>
      </c>
      <c r="P314" s="2" t="s">
        <v>543</v>
      </c>
      <c r="Q314" s="2"/>
      <c r="R314" s="2" t="s">
        <v>53</v>
      </c>
      <c r="S314" s="2">
        <v>8210302201</v>
      </c>
      <c r="T314" s="2" t="s">
        <v>1237</v>
      </c>
      <c r="U314" s="2" t="s">
        <v>1238</v>
      </c>
      <c r="V314" s="2">
        <v>9999999999</v>
      </c>
      <c r="W314" s="2" t="s">
        <v>467</v>
      </c>
      <c r="X314" s="2">
        <v>48000</v>
      </c>
      <c r="Y314" s="2" t="s">
        <v>55</v>
      </c>
      <c r="Z314" s="2" t="s">
        <v>55</v>
      </c>
      <c r="AA314" s="2" t="s">
        <v>546</v>
      </c>
      <c r="AB314" s="2">
        <v>16</v>
      </c>
      <c r="AC314" s="2" t="s">
        <v>57</v>
      </c>
      <c r="AD314" s="2">
        <v>0</v>
      </c>
    </row>
    <row r="315" spans="1:30" ht="30" x14ac:dyDescent="0.25">
      <c r="A315" s="2">
        <v>10</v>
      </c>
      <c r="B315" s="2" t="s">
        <v>49</v>
      </c>
      <c r="C315" s="2">
        <v>412</v>
      </c>
      <c r="D315" s="3">
        <v>42921</v>
      </c>
      <c r="E315" s="2" t="s">
        <v>1239</v>
      </c>
      <c r="F315" s="2"/>
      <c r="G315" s="2" t="s">
        <v>929</v>
      </c>
      <c r="H315" s="2" t="s">
        <v>930</v>
      </c>
      <c r="I315" s="2" t="s">
        <v>51</v>
      </c>
      <c r="J315" s="3">
        <v>39588</v>
      </c>
      <c r="K315" s="2">
        <v>1031</v>
      </c>
      <c r="L315" s="2"/>
      <c r="M315" s="2">
        <v>160</v>
      </c>
      <c r="N315" s="2">
        <v>156</v>
      </c>
      <c r="O315" s="2" t="s">
        <v>6</v>
      </c>
      <c r="P315" s="2" t="s">
        <v>52</v>
      </c>
      <c r="Q315" s="2"/>
      <c r="R315" s="2" t="s">
        <v>53</v>
      </c>
      <c r="S315" s="2">
        <v>8210302201</v>
      </c>
      <c r="T315" s="2" t="s">
        <v>1240</v>
      </c>
      <c r="U315" s="2" t="s">
        <v>1241</v>
      </c>
      <c r="V315" s="2">
        <v>9460361075</v>
      </c>
      <c r="W315" s="2" t="s">
        <v>796</v>
      </c>
      <c r="X315" s="2">
        <v>60000</v>
      </c>
      <c r="Y315" s="2" t="s">
        <v>55</v>
      </c>
      <c r="Z315" s="2" t="s">
        <v>55</v>
      </c>
      <c r="AA315" s="2" t="s">
        <v>56</v>
      </c>
      <c r="AB315" s="2">
        <v>17</v>
      </c>
      <c r="AC315" s="2" t="s">
        <v>57</v>
      </c>
      <c r="AD315" s="2">
        <v>0</v>
      </c>
    </row>
    <row r="316" spans="1:30" ht="30" x14ac:dyDescent="0.25">
      <c r="A316" s="2">
        <v>10</v>
      </c>
      <c r="B316" s="2" t="s">
        <v>49</v>
      </c>
      <c r="C316" s="2">
        <v>832</v>
      </c>
      <c r="D316" s="3">
        <v>45120</v>
      </c>
      <c r="E316" s="2" t="s">
        <v>1242</v>
      </c>
      <c r="F316" s="2"/>
      <c r="G316" s="2" t="s">
        <v>1243</v>
      </c>
      <c r="H316" s="2" t="s">
        <v>743</v>
      </c>
      <c r="I316" s="2" t="s">
        <v>51</v>
      </c>
      <c r="J316" s="3">
        <v>39972</v>
      </c>
      <c r="K316" s="2">
        <v>1032</v>
      </c>
      <c r="L316" s="2"/>
      <c r="M316" s="2">
        <v>160</v>
      </c>
      <c r="N316" s="2">
        <v>155</v>
      </c>
      <c r="O316" s="2" t="s">
        <v>5</v>
      </c>
      <c r="P316" s="2" t="s">
        <v>52</v>
      </c>
      <c r="Q316" s="2"/>
      <c r="R316" s="2" t="s">
        <v>53</v>
      </c>
      <c r="S316" s="2">
        <v>8210302201</v>
      </c>
      <c r="T316" s="2" t="s">
        <v>1244</v>
      </c>
      <c r="U316" s="2" t="s">
        <v>1245</v>
      </c>
      <c r="V316" s="2">
        <v>9799896135</v>
      </c>
      <c r="W316" s="2" t="s">
        <v>1246</v>
      </c>
      <c r="X316" s="2">
        <v>48000</v>
      </c>
      <c r="Y316" s="2" t="s">
        <v>55</v>
      </c>
      <c r="Z316" s="2" t="s">
        <v>55</v>
      </c>
      <c r="AA316" s="2" t="s">
        <v>56</v>
      </c>
      <c r="AB316" s="2">
        <v>16</v>
      </c>
      <c r="AC316" s="2" t="s">
        <v>57</v>
      </c>
      <c r="AD316" s="2">
        <v>0</v>
      </c>
    </row>
    <row r="317" spans="1:30" ht="30" x14ac:dyDescent="0.25">
      <c r="A317" s="2">
        <v>10</v>
      </c>
      <c r="B317" s="2" t="s">
        <v>49</v>
      </c>
      <c r="C317" s="2">
        <v>614</v>
      </c>
      <c r="D317" s="3">
        <v>44043</v>
      </c>
      <c r="E317" s="2" t="s">
        <v>1247</v>
      </c>
      <c r="F317" s="2"/>
      <c r="G317" s="2" t="s">
        <v>1248</v>
      </c>
      <c r="H317" s="2" t="s">
        <v>747</v>
      </c>
      <c r="I317" s="2" t="s">
        <v>67</v>
      </c>
      <c r="J317" s="3">
        <v>40284</v>
      </c>
      <c r="K317" s="2">
        <v>1033</v>
      </c>
      <c r="L317" s="2"/>
      <c r="M317" s="2">
        <v>160</v>
      </c>
      <c r="N317" s="2">
        <v>150</v>
      </c>
      <c r="O317" s="2" t="s">
        <v>4</v>
      </c>
      <c r="P317" s="2" t="s">
        <v>52</v>
      </c>
      <c r="Q317" s="2"/>
      <c r="R317" s="2" t="s">
        <v>53</v>
      </c>
      <c r="S317" s="2">
        <v>8210302201</v>
      </c>
      <c r="T317" s="2" t="s">
        <v>1249</v>
      </c>
      <c r="U317" s="2"/>
      <c r="V317" s="2">
        <v>9950026559</v>
      </c>
      <c r="W317" s="2" t="s">
        <v>214</v>
      </c>
      <c r="X317" s="2">
        <v>50000</v>
      </c>
      <c r="Y317" s="2" t="s">
        <v>55</v>
      </c>
      <c r="Z317" s="2" t="s">
        <v>55</v>
      </c>
      <c r="AA317" s="2" t="s">
        <v>56</v>
      </c>
      <c r="AB317" s="2">
        <v>15</v>
      </c>
      <c r="AC317" s="2" t="s">
        <v>57</v>
      </c>
      <c r="AD317" s="2">
        <v>0</v>
      </c>
    </row>
    <row r="318" spans="1:30" ht="30" x14ac:dyDescent="0.25">
      <c r="A318" s="2">
        <v>10</v>
      </c>
      <c r="B318" s="2" t="s">
        <v>49</v>
      </c>
      <c r="C318" s="2">
        <v>622</v>
      </c>
      <c r="D318" s="3">
        <v>44053</v>
      </c>
      <c r="E318" s="2" t="s">
        <v>1250</v>
      </c>
      <c r="F318" s="2"/>
      <c r="G318" s="2" t="s">
        <v>1251</v>
      </c>
      <c r="H318" s="2" t="s">
        <v>1252</v>
      </c>
      <c r="I318" s="2" t="s">
        <v>51</v>
      </c>
      <c r="J318" s="3">
        <v>39630</v>
      </c>
      <c r="K318" s="2">
        <v>1034</v>
      </c>
      <c r="L318" s="2"/>
      <c r="M318" s="2">
        <v>160</v>
      </c>
      <c r="N318" s="2">
        <v>156</v>
      </c>
      <c r="O318" s="2" t="s">
        <v>4</v>
      </c>
      <c r="P318" s="2"/>
      <c r="Q318" s="2"/>
      <c r="R318" s="2" t="s">
        <v>53</v>
      </c>
      <c r="S318" s="2">
        <v>8210302201</v>
      </c>
      <c r="T318" s="2" t="s">
        <v>1253</v>
      </c>
      <c r="U318" s="2"/>
      <c r="V318" s="2">
        <v>7976550858</v>
      </c>
      <c r="W318" s="2" t="s">
        <v>758</v>
      </c>
      <c r="X318" s="2">
        <v>0</v>
      </c>
      <c r="Y318" s="2" t="s">
        <v>55</v>
      </c>
      <c r="Z318" s="2" t="s">
        <v>55</v>
      </c>
      <c r="AA318" s="2"/>
      <c r="AB318" s="2">
        <v>17</v>
      </c>
      <c r="AC318" s="2" t="s">
        <v>57</v>
      </c>
      <c r="AD318" s="2">
        <v>1</v>
      </c>
    </row>
    <row r="319" spans="1:30" ht="30" x14ac:dyDescent="0.25">
      <c r="A319" s="2">
        <v>10</v>
      </c>
      <c r="B319" s="2" t="s">
        <v>49</v>
      </c>
      <c r="C319" s="2">
        <v>317</v>
      </c>
      <c r="D319" s="2"/>
      <c r="E319" s="2" t="s">
        <v>795</v>
      </c>
      <c r="F319" s="2"/>
      <c r="G319" s="2" t="s">
        <v>1114</v>
      </c>
      <c r="H319" s="2" t="s">
        <v>537</v>
      </c>
      <c r="I319" s="2" t="s">
        <v>51</v>
      </c>
      <c r="J319" s="3">
        <v>40000</v>
      </c>
      <c r="K319" s="2">
        <v>1035</v>
      </c>
      <c r="L319" s="2"/>
      <c r="M319" s="2">
        <v>160</v>
      </c>
      <c r="N319" s="2">
        <v>156</v>
      </c>
      <c r="O319" s="2" t="s">
        <v>6</v>
      </c>
      <c r="P319" s="2" t="s">
        <v>52</v>
      </c>
      <c r="Q319" s="2"/>
      <c r="R319" s="2" t="s">
        <v>53</v>
      </c>
      <c r="S319" s="2">
        <v>8210302201</v>
      </c>
      <c r="T319" s="2" t="s">
        <v>1254</v>
      </c>
      <c r="U319" s="2" t="s">
        <v>1255</v>
      </c>
      <c r="V319" s="2">
        <v>8003573992</v>
      </c>
      <c r="W319" s="2" t="s">
        <v>956</v>
      </c>
      <c r="X319" s="2">
        <v>36000</v>
      </c>
      <c r="Y319" s="2" t="s">
        <v>55</v>
      </c>
      <c r="Z319" s="2" t="s">
        <v>55</v>
      </c>
      <c r="AA319" s="2" t="s">
        <v>56</v>
      </c>
      <c r="AB319" s="2">
        <v>16</v>
      </c>
      <c r="AC319" s="2" t="s">
        <v>57</v>
      </c>
      <c r="AD319" s="2">
        <v>0</v>
      </c>
    </row>
    <row r="320" spans="1:30" ht="30" x14ac:dyDescent="0.25">
      <c r="A320" s="2">
        <v>10</v>
      </c>
      <c r="B320" s="2" t="s">
        <v>49</v>
      </c>
      <c r="C320" s="2">
        <v>616</v>
      </c>
      <c r="D320" s="3">
        <v>44053</v>
      </c>
      <c r="E320" s="2" t="s">
        <v>1256</v>
      </c>
      <c r="F320" s="2"/>
      <c r="G320" s="2" t="s">
        <v>1051</v>
      </c>
      <c r="H320" s="2" t="s">
        <v>512</v>
      </c>
      <c r="I320" s="2" t="s">
        <v>67</v>
      </c>
      <c r="J320" s="3">
        <v>39868</v>
      </c>
      <c r="K320" s="2">
        <v>1036</v>
      </c>
      <c r="L320" s="2"/>
      <c r="M320" s="2">
        <v>160</v>
      </c>
      <c r="N320" s="2">
        <v>152</v>
      </c>
      <c r="O320" s="2" t="s">
        <v>6</v>
      </c>
      <c r="P320" s="2" t="s">
        <v>52</v>
      </c>
      <c r="Q320" s="2"/>
      <c r="R320" s="2" t="s">
        <v>53</v>
      </c>
      <c r="S320" s="2">
        <v>8210302201</v>
      </c>
      <c r="T320" s="2" t="s">
        <v>1257</v>
      </c>
      <c r="U320" s="2"/>
      <c r="V320" s="2">
        <v>9001638385</v>
      </c>
      <c r="W320" s="2" t="s">
        <v>858</v>
      </c>
      <c r="X320" s="2">
        <v>50000</v>
      </c>
      <c r="Y320" s="2" t="s">
        <v>55</v>
      </c>
      <c r="Z320" s="2" t="s">
        <v>55</v>
      </c>
      <c r="AA320" s="2" t="s">
        <v>56</v>
      </c>
      <c r="AB320" s="2">
        <v>16</v>
      </c>
      <c r="AC320" s="2" t="s">
        <v>57</v>
      </c>
      <c r="AD320" s="2">
        <v>3</v>
      </c>
    </row>
    <row r="321" spans="1:30" ht="30" x14ac:dyDescent="0.25">
      <c r="A321" s="2">
        <v>11</v>
      </c>
      <c r="B321" s="2" t="s">
        <v>49</v>
      </c>
      <c r="C321" s="2">
        <v>744</v>
      </c>
      <c r="D321" s="3">
        <v>44489</v>
      </c>
      <c r="E321" s="2" t="s">
        <v>1258</v>
      </c>
      <c r="F321" s="2"/>
      <c r="G321" s="2" t="s">
        <v>1259</v>
      </c>
      <c r="H321" s="2" t="s">
        <v>1260</v>
      </c>
      <c r="I321" s="2" t="s">
        <v>67</v>
      </c>
      <c r="J321" s="3">
        <v>39480</v>
      </c>
      <c r="K321" s="2">
        <v>1101</v>
      </c>
      <c r="L321" s="2"/>
      <c r="M321" s="2">
        <v>210</v>
      </c>
      <c r="N321" s="2">
        <v>123</v>
      </c>
      <c r="O321" s="2" t="s">
        <v>5</v>
      </c>
      <c r="P321" s="2"/>
      <c r="Q321" s="2"/>
      <c r="R321" s="2" t="s">
        <v>53</v>
      </c>
      <c r="S321" s="2">
        <v>8210302201</v>
      </c>
      <c r="T321" s="2" t="s">
        <v>1261</v>
      </c>
      <c r="U321" s="2"/>
      <c r="V321" s="2">
        <v>8826913669</v>
      </c>
      <c r="W321" s="2" t="s">
        <v>383</v>
      </c>
      <c r="X321" s="2">
        <v>50000</v>
      </c>
      <c r="Y321" s="2" t="s">
        <v>55</v>
      </c>
      <c r="Z321" s="2" t="s">
        <v>55</v>
      </c>
      <c r="AA321" s="2"/>
      <c r="AB321" s="2">
        <v>17</v>
      </c>
      <c r="AC321" s="2" t="s">
        <v>57</v>
      </c>
      <c r="AD321" s="2">
        <v>3</v>
      </c>
    </row>
    <row r="322" spans="1:30" ht="30" x14ac:dyDescent="0.25">
      <c r="A322" s="2">
        <v>11</v>
      </c>
      <c r="B322" s="2" t="s">
        <v>49</v>
      </c>
      <c r="C322" s="2">
        <v>866</v>
      </c>
      <c r="D322" s="3">
        <v>45148</v>
      </c>
      <c r="E322" s="2" t="s">
        <v>1262</v>
      </c>
      <c r="F322" s="2"/>
      <c r="G322" s="2" t="s">
        <v>1263</v>
      </c>
      <c r="H322" s="2" t="s">
        <v>1264</v>
      </c>
      <c r="I322" s="2" t="s">
        <v>67</v>
      </c>
      <c r="J322" s="3">
        <v>40226</v>
      </c>
      <c r="K322" s="2">
        <v>1102</v>
      </c>
      <c r="L322" s="2"/>
      <c r="M322" s="2">
        <v>210</v>
      </c>
      <c r="N322" s="2">
        <v>135</v>
      </c>
      <c r="O322" s="2" t="s">
        <v>6</v>
      </c>
      <c r="P322" s="2"/>
      <c r="Q322" s="2"/>
      <c r="R322" s="2" t="s">
        <v>53</v>
      </c>
      <c r="S322" s="2">
        <v>8210302201</v>
      </c>
      <c r="T322" s="2"/>
      <c r="U322" s="2"/>
      <c r="V322" s="2">
        <v>8619199176</v>
      </c>
      <c r="W322" s="2"/>
      <c r="X322" s="2"/>
      <c r="Y322" s="2" t="s">
        <v>55</v>
      </c>
      <c r="Z322" s="2" t="s">
        <v>190</v>
      </c>
      <c r="AA322" s="2"/>
      <c r="AB322" s="2">
        <v>15</v>
      </c>
      <c r="AC322" s="2"/>
      <c r="AD322" s="2">
        <v>0</v>
      </c>
    </row>
    <row r="323" spans="1:30" ht="30" x14ac:dyDescent="0.25">
      <c r="A323" s="2">
        <v>11</v>
      </c>
      <c r="B323" s="2" t="s">
        <v>49</v>
      </c>
      <c r="C323" s="2">
        <v>414</v>
      </c>
      <c r="D323" s="3">
        <v>42922</v>
      </c>
      <c r="E323" s="2" t="s">
        <v>1265</v>
      </c>
      <c r="F323" s="2"/>
      <c r="G323" s="2" t="s">
        <v>1266</v>
      </c>
      <c r="H323" s="2" t="s">
        <v>657</v>
      </c>
      <c r="I323" s="2" t="s">
        <v>67</v>
      </c>
      <c r="J323" s="3">
        <v>39615</v>
      </c>
      <c r="K323" s="2">
        <v>1103</v>
      </c>
      <c r="L323" s="2"/>
      <c r="M323" s="2">
        <v>210</v>
      </c>
      <c r="N323" s="2">
        <v>161</v>
      </c>
      <c r="O323" s="2" t="s">
        <v>4</v>
      </c>
      <c r="P323" s="2" t="s">
        <v>52</v>
      </c>
      <c r="Q323" s="2"/>
      <c r="R323" s="2" t="s">
        <v>53</v>
      </c>
      <c r="S323" s="2">
        <v>8210302201</v>
      </c>
      <c r="T323" s="2" t="s">
        <v>1267</v>
      </c>
      <c r="U323" s="2" t="s">
        <v>1268</v>
      </c>
      <c r="V323" s="2">
        <v>9166104771</v>
      </c>
      <c r="W323" s="2" t="s">
        <v>796</v>
      </c>
      <c r="X323" s="2">
        <v>40000</v>
      </c>
      <c r="Y323" s="2" t="s">
        <v>55</v>
      </c>
      <c r="Z323" s="2" t="s">
        <v>55</v>
      </c>
      <c r="AA323" s="2" t="s">
        <v>56</v>
      </c>
      <c r="AB323" s="2">
        <v>17</v>
      </c>
      <c r="AC323" s="2" t="s">
        <v>57</v>
      </c>
      <c r="AD323" s="2">
        <v>0</v>
      </c>
    </row>
    <row r="324" spans="1:30" ht="30" x14ac:dyDescent="0.25">
      <c r="A324" s="2">
        <v>11</v>
      </c>
      <c r="B324" s="2" t="s">
        <v>49</v>
      </c>
      <c r="C324" s="2">
        <v>241</v>
      </c>
      <c r="D324" s="3">
        <v>42136</v>
      </c>
      <c r="E324" s="2" t="s">
        <v>1269</v>
      </c>
      <c r="F324" s="2"/>
      <c r="G324" s="2" t="s">
        <v>1270</v>
      </c>
      <c r="H324" s="2" t="s">
        <v>1271</v>
      </c>
      <c r="I324" s="2" t="s">
        <v>67</v>
      </c>
      <c r="J324" s="3">
        <v>39632</v>
      </c>
      <c r="K324" s="2">
        <v>1104</v>
      </c>
      <c r="L324" s="2"/>
      <c r="M324" s="2">
        <v>210</v>
      </c>
      <c r="N324" s="2">
        <v>139</v>
      </c>
      <c r="O324" s="2" t="s">
        <v>6</v>
      </c>
      <c r="P324" s="2" t="s">
        <v>52</v>
      </c>
      <c r="Q324" s="2"/>
      <c r="R324" s="2" t="s">
        <v>53</v>
      </c>
      <c r="S324" s="2">
        <v>8210302201</v>
      </c>
      <c r="T324" s="2" t="s">
        <v>1272</v>
      </c>
      <c r="U324" s="2" t="s">
        <v>1273</v>
      </c>
      <c r="V324" s="2">
        <v>7023176175</v>
      </c>
      <c r="W324" s="2" t="s">
        <v>956</v>
      </c>
      <c r="X324" s="2">
        <v>36000</v>
      </c>
      <c r="Y324" s="2" t="s">
        <v>190</v>
      </c>
      <c r="Z324" s="2" t="s">
        <v>55</v>
      </c>
      <c r="AA324" s="2" t="s">
        <v>56</v>
      </c>
      <c r="AB324" s="2">
        <v>17</v>
      </c>
      <c r="AC324" s="2" t="s">
        <v>57</v>
      </c>
      <c r="AD324" s="2">
        <v>0</v>
      </c>
    </row>
    <row r="325" spans="1:30" ht="30" x14ac:dyDescent="0.25">
      <c r="A325" s="2">
        <v>11</v>
      </c>
      <c r="B325" s="2" t="s">
        <v>49</v>
      </c>
      <c r="C325" s="2">
        <v>588</v>
      </c>
      <c r="D325" s="3">
        <v>43677</v>
      </c>
      <c r="E325" s="2" t="s">
        <v>1274</v>
      </c>
      <c r="F325" s="2"/>
      <c r="G325" s="2" t="s">
        <v>1275</v>
      </c>
      <c r="H325" s="2" t="s">
        <v>1123</v>
      </c>
      <c r="I325" s="2" t="s">
        <v>67</v>
      </c>
      <c r="J325" s="3">
        <v>39815</v>
      </c>
      <c r="K325" s="2">
        <v>1105</v>
      </c>
      <c r="L325" s="2"/>
      <c r="M325" s="2">
        <v>210</v>
      </c>
      <c r="N325" s="2">
        <v>124</v>
      </c>
      <c r="O325" s="2" t="s">
        <v>6</v>
      </c>
      <c r="P325" s="2" t="s">
        <v>52</v>
      </c>
      <c r="Q325" s="2"/>
      <c r="R325" s="2" t="s">
        <v>53</v>
      </c>
      <c r="S325" s="2">
        <v>8210302201</v>
      </c>
      <c r="T325" s="2" t="s">
        <v>1276</v>
      </c>
      <c r="U325" s="2" t="s">
        <v>1277</v>
      </c>
      <c r="V325" s="2">
        <v>9999999999</v>
      </c>
      <c r="W325" s="2" t="s">
        <v>467</v>
      </c>
      <c r="X325" s="2">
        <v>48000</v>
      </c>
      <c r="Y325" s="2" t="s">
        <v>55</v>
      </c>
      <c r="Z325" s="2" t="s">
        <v>55</v>
      </c>
      <c r="AA325" s="2" t="s">
        <v>56</v>
      </c>
      <c r="AB325" s="2">
        <v>16</v>
      </c>
      <c r="AC325" s="2" t="s">
        <v>57</v>
      </c>
      <c r="AD325" s="2">
        <v>0</v>
      </c>
    </row>
    <row r="326" spans="1:30" ht="30" x14ac:dyDescent="0.25">
      <c r="A326" s="2">
        <v>11</v>
      </c>
      <c r="B326" s="2" t="s">
        <v>49</v>
      </c>
      <c r="C326" s="2">
        <v>255</v>
      </c>
      <c r="D326" s="2"/>
      <c r="E326" s="2" t="s">
        <v>1278</v>
      </c>
      <c r="F326" s="2"/>
      <c r="G326" s="2" t="s">
        <v>1279</v>
      </c>
      <c r="H326" s="2" t="s">
        <v>592</v>
      </c>
      <c r="I326" s="2" t="s">
        <v>67</v>
      </c>
      <c r="J326" s="3">
        <v>39630</v>
      </c>
      <c r="K326" s="2">
        <v>1106</v>
      </c>
      <c r="L326" s="2"/>
      <c r="M326" s="2">
        <v>210</v>
      </c>
      <c r="N326" s="2">
        <v>169</v>
      </c>
      <c r="O326" s="2" t="s">
        <v>6</v>
      </c>
      <c r="P326" s="2" t="s">
        <v>52</v>
      </c>
      <c r="Q326" s="2"/>
      <c r="R326" s="2" t="s">
        <v>53</v>
      </c>
      <c r="S326" s="2">
        <v>8210302201</v>
      </c>
      <c r="T326" s="2" t="s">
        <v>1280</v>
      </c>
      <c r="U326" s="2" t="s">
        <v>1049</v>
      </c>
      <c r="V326" s="2">
        <v>8290250567</v>
      </c>
      <c r="W326" s="2" t="s">
        <v>956</v>
      </c>
      <c r="X326" s="2">
        <v>36000</v>
      </c>
      <c r="Y326" s="2" t="s">
        <v>55</v>
      </c>
      <c r="Z326" s="2" t="s">
        <v>55</v>
      </c>
      <c r="AA326" s="2" t="s">
        <v>56</v>
      </c>
      <c r="AB326" s="2">
        <v>17</v>
      </c>
      <c r="AC326" s="2" t="s">
        <v>57</v>
      </c>
      <c r="AD326" s="2">
        <v>0</v>
      </c>
    </row>
    <row r="327" spans="1:30" ht="30" x14ac:dyDescent="0.25">
      <c r="A327" s="2">
        <v>11</v>
      </c>
      <c r="B327" s="2" t="s">
        <v>49</v>
      </c>
      <c r="C327" s="2">
        <v>772</v>
      </c>
      <c r="D327" s="3">
        <v>44755</v>
      </c>
      <c r="E327" s="2" t="s">
        <v>1281</v>
      </c>
      <c r="F327" s="2"/>
      <c r="G327" s="2" t="s">
        <v>1282</v>
      </c>
      <c r="H327" s="2" t="s">
        <v>1283</v>
      </c>
      <c r="I327" s="2" t="s">
        <v>67</v>
      </c>
      <c r="J327" s="3">
        <v>39406</v>
      </c>
      <c r="K327" s="2">
        <v>1107</v>
      </c>
      <c r="L327" s="2"/>
      <c r="M327" s="2">
        <v>210</v>
      </c>
      <c r="N327" s="2">
        <v>180</v>
      </c>
      <c r="O327" s="2" t="s">
        <v>6</v>
      </c>
      <c r="P327" s="2" t="s">
        <v>52</v>
      </c>
      <c r="Q327" s="2"/>
      <c r="R327" s="2" t="s">
        <v>53</v>
      </c>
      <c r="S327" s="2">
        <v>8210302201</v>
      </c>
      <c r="T327" s="2" t="s">
        <v>1284</v>
      </c>
      <c r="U327" s="2"/>
      <c r="V327" s="2">
        <v>7877363107</v>
      </c>
      <c r="W327" s="2" t="s">
        <v>383</v>
      </c>
      <c r="X327" s="2">
        <v>50000</v>
      </c>
      <c r="Y327" s="2" t="s">
        <v>55</v>
      </c>
      <c r="Z327" s="2" t="s">
        <v>55</v>
      </c>
      <c r="AA327" s="2" t="s">
        <v>56</v>
      </c>
      <c r="AB327" s="2">
        <v>18</v>
      </c>
      <c r="AC327" s="2" t="s">
        <v>57</v>
      </c>
      <c r="AD327" s="2">
        <v>1</v>
      </c>
    </row>
    <row r="328" spans="1:30" ht="30" x14ac:dyDescent="0.25">
      <c r="A328" s="2">
        <v>11</v>
      </c>
      <c r="B328" s="2" t="s">
        <v>49</v>
      </c>
      <c r="C328" s="2">
        <v>915</v>
      </c>
      <c r="D328" s="3">
        <v>45504</v>
      </c>
      <c r="E328" s="2" t="s">
        <v>1285</v>
      </c>
      <c r="F328" s="2"/>
      <c r="G328" s="2" t="s">
        <v>1286</v>
      </c>
      <c r="H328" s="2" t="s">
        <v>810</v>
      </c>
      <c r="I328" s="2" t="s">
        <v>67</v>
      </c>
      <c r="J328" s="3">
        <v>40032</v>
      </c>
      <c r="K328" s="2">
        <v>1108</v>
      </c>
      <c r="L328" s="2"/>
      <c r="M328" s="2">
        <v>210</v>
      </c>
      <c r="N328" s="2">
        <v>120</v>
      </c>
      <c r="O328" s="2" t="s">
        <v>6</v>
      </c>
      <c r="P328" s="2"/>
      <c r="Q328" s="2"/>
      <c r="R328" s="2" t="s">
        <v>53</v>
      </c>
      <c r="S328" s="2">
        <v>8210302201</v>
      </c>
      <c r="T328" s="2"/>
      <c r="U328" s="2"/>
      <c r="V328" s="2">
        <v>9929243449</v>
      </c>
      <c r="W328" s="2"/>
      <c r="X328" s="2"/>
      <c r="Y328" s="2" t="s">
        <v>55</v>
      </c>
      <c r="Z328" s="2" t="s">
        <v>190</v>
      </c>
      <c r="AA328" s="2"/>
      <c r="AB328" s="2">
        <v>16</v>
      </c>
      <c r="AC328" s="2"/>
      <c r="AD328" s="2">
        <v>3</v>
      </c>
    </row>
    <row r="329" spans="1:30" ht="30" x14ac:dyDescent="0.25">
      <c r="A329" s="2">
        <v>11</v>
      </c>
      <c r="B329" s="2" t="s">
        <v>49</v>
      </c>
      <c r="C329" s="2">
        <v>511</v>
      </c>
      <c r="D329" s="3">
        <v>43292</v>
      </c>
      <c r="E329" s="2" t="s">
        <v>1287</v>
      </c>
      <c r="F329" s="2"/>
      <c r="G329" s="2" t="s">
        <v>1288</v>
      </c>
      <c r="H329" s="2" t="s">
        <v>743</v>
      </c>
      <c r="I329" s="2" t="s">
        <v>67</v>
      </c>
      <c r="J329" s="3">
        <v>39661</v>
      </c>
      <c r="K329" s="2">
        <v>1109</v>
      </c>
      <c r="L329" s="2"/>
      <c r="M329" s="2">
        <v>210</v>
      </c>
      <c r="N329" s="2">
        <v>142</v>
      </c>
      <c r="O329" s="2" t="s">
        <v>4</v>
      </c>
      <c r="P329" s="2" t="s">
        <v>52</v>
      </c>
      <c r="Q329" s="2"/>
      <c r="R329" s="2" t="s">
        <v>53</v>
      </c>
      <c r="S329" s="2">
        <v>8210302201</v>
      </c>
      <c r="T329" s="2" t="s">
        <v>1289</v>
      </c>
      <c r="U329" s="2" t="s">
        <v>1290</v>
      </c>
      <c r="V329" s="2">
        <v>9888888888</v>
      </c>
      <c r="W329" s="2" t="s">
        <v>1023</v>
      </c>
      <c r="X329" s="2">
        <v>40000</v>
      </c>
      <c r="Y329" s="2" t="s">
        <v>55</v>
      </c>
      <c r="Z329" s="2" t="s">
        <v>55</v>
      </c>
      <c r="AA329" s="2" t="s">
        <v>56</v>
      </c>
      <c r="AB329" s="2">
        <v>17</v>
      </c>
      <c r="AC329" s="2" t="s">
        <v>57</v>
      </c>
      <c r="AD329" s="2">
        <v>3</v>
      </c>
    </row>
    <row r="330" spans="1:30" ht="30" x14ac:dyDescent="0.25">
      <c r="A330" s="2">
        <v>11</v>
      </c>
      <c r="B330" s="2" t="s">
        <v>49</v>
      </c>
      <c r="C330" s="2">
        <v>281</v>
      </c>
      <c r="D330" s="2"/>
      <c r="E330" s="2" t="s">
        <v>1291</v>
      </c>
      <c r="F330" s="2"/>
      <c r="G330" s="2" t="s">
        <v>864</v>
      </c>
      <c r="H330" s="2" t="s">
        <v>508</v>
      </c>
      <c r="I330" s="2" t="s">
        <v>51</v>
      </c>
      <c r="J330" s="3">
        <v>39845</v>
      </c>
      <c r="K330" s="2">
        <v>1110</v>
      </c>
      <c r="L330" s="2"/>
      <c r="M330" s="2">
        <v>210</v>
      </c>
      <c r="N330" s="2">
        <v>134</v>
      </c>
      <c r="O330" s="2" t="s">
        <v>6</v>
      </c>
      <c r="P330" s="2" t="s">
        <v>52</v>
      </c>
      <c r="Q330" s="2"/>
      <c r="R330" s="2" t="s">
        <v>53</v>
      </c>
      <c r="S330" s="2">
        <v>8210302201</v>
      </c>
      <c r="T330" s="2" t="s">
        <v>1292</v>
      </c>
      <c r="U330" s="2" t="s">
        <v>1293</v>
      </c>
      <c r="V330" s="2">
        <v>9799229169</v>
      </c>
      <c r="W330" s="2" t="s">
        <v>956</v>
      </c>
      <c r="X330" s="2">
        <v>36000</v>
      </c>
      <c r="Y330" s="2" t="s">
        <v>55</v>
      </c>
      <c r="Z330" s="2" t="s">
        <v>55</v>
      </c>
      <c r="AA330" s="2" t="s">
        <v>56</v>
      </c>
      <c r="AB330" s="2">
        <v>16</v>
      </c>
      <c r="AC330" s="2" t="s">
        <v>57</v>
      </c>
      <c r="AD330" s="2">
        <v>0</v>
      </c>
    </row>
    <row r="331" spans="1:30" ht="45" x14ac:dyDescent="0.25">
      <c r="A331" s="2">
        <v>11</v>
      </c>
      <c r="B331" s="2" t="s">
        <v>49</v>
      </c>
      <c r="C331" s="2">
        <v>578</v>
      </c>
      <c r="D331" s="3">
        <v>43670</v>
      </c>
      <c r="E331" s="2" t="s">
        <v>1294</v>
      </c>
      <c r="F331" s="2"/>
      <c r="G331" s="2" t="s">
        <v>1295</v>
      </c>
      <c r="H331" s="2" t="s">
        <v>756</v>
      </c>
      <c r="I331" s="2" t="s">
        <v>51</v>
      </c>
      <c r="J331" s="3">
        <v>39691</v>
      </c>
      <c r="K331" s="2">
        <v>1111</v>
      </c>
      <c r="L331" s="2"/>
      <c r="M331" s="2">
        <v>210</v>
      </c>
      <c r="N331" s="2">
        <v>176</v>
      </c>
      <c r="O331" s="2" t="s">
        <v>4</v>
      </c>
      <c r="P331" s="2" t="s">
        <v>52</v>
      </c>
      <c r="Q331" s="2"/>
      <c r="R331" s="2" t="s">
        <v>53</v>
      </c>
      <c r="S331" s="2">
        <v>8210302201</v>
      </c>
      <c r="T331" s="2" t="s">
        <v>1296</v>
      </c>
      <c r="U331" s="2" t="s">
        <v>1297</v>
      </c>
      <c r="V331" s="2">
        <v>9888888888</v>
      </c>
      <c r="W331" s="2" t="s">
        <v>1298</v>
      </c>
      <c r="X331" s="2">
        <v>48000</v>
      </c>
      <c r="Y331" s="2" t="s">
        <v>55</v>
      </c>
      <c r="Z331" s="2" t="s">
        <v>55</v>
      </c>
      <c r="AA331" s="2" t="s">
        <v>56</v>
      </c>
      <c r="AB331" s="2">
        <v>17</v>
      </c>
      <c r="AC331" s="2" t="s">
        <v>57</v>
      </c>
      <c r="AD331" s="2">
        <v>3</v>
      </c>
    </row>
    <row r="332" spans="1:30" ht="30" x14ac:dyDescent="0.25">
      <c r="A332" s="2">
        <v>11</v>
      </c>
      <c r="B332" s="2" t="s">
        <v>49</v>
      </c>
      <c r="C332" s="2">
        <v>910</v>
      </c>
      <c r="D332" s="3">
        <v>45504</v>
      </c>
      <c r="E332" s="2" t="s">
        <v>1299</v>
      </c>
      <c r="F332" s="2"/>
      <c r="G332" s="2" t="s">
        <v>595</v>
      </c>
      <c r="H332" s="2" t="s">
        <v>1300</v>
      </c>
      <c r="I332" s="2" t="s">
        <v>67</v>
      </c>
      <c r="J332" s="3">
        <v>39509</v>
      </c>
      <c r="K332" s="2">
        <v>1112</v>
      </c>
      <c r="L332" s="2"/>
      <c r="M332" s="2">
        <v>210</v>
      </c>
      <c r="N332" s="2">
        <v>139</v>
      </c>
      <c r="O332" s="2" t="s">
        <v>6</v>
      </c>
      <c r="P332" s="2"/>
      <c r="Q332" s="2"/>
      <c r="R332" s="2" t="s">
        <v>53</v>
      </c>
      <c r="S332" s="2">
        <v>8210302201</v>
      </c>
      <c r="T332" s="2"/>
      <c r="U332" s="2"/>
      <c r="V332" s="2">
        <v>9166813165</v>
      </c>
      <c r="W332" s="2"/>
      <c r="X332" s="2"/>
      <c r="Y332" s="2" t="s">
        <v>55</v>
      </c>
      <c r="Z332" s="2" t="s">
        <v>190</v>
      </c>
      <c r="AA332" s="2"/>
      <c r="AB332" s="2">
        <v>17</v>
      </c>
      <c r="AC332" s="2"/>
      <c r="AD332" s="2">
        <v>0</v>
      </c>
    </row>
    <row r="333" spans="1:30" ht="30" x14ac:dyDescent="0.25">
      <c r="A333" s="2">
        <v>11</v>
      </c>
      <c r="B333" s="2" t="s">
        <v>49</v>
      </c>
      <c r="C333" s="2">
        <v>262</v>
      </c>
      <c r="D333" s="2"/>
      <c r="E333" s="2" t="s">
        <v>1301</v>
      </c>
      <c r="F333" s="2"/>
      <c r="G333" s="2" t="s">
        <v>1105</v>
      </c>
      <c r="H333" s="2" t="s">
        <v>554</v>
      </c>
      <c r="I333" s="2" t="s">
        <v>67</v>
      </c>
      <c r="J333" s="3">
        <v>39614</v>
      </c>
      <c r="K333" s="2">
        <v>1113</v>
      </c>
      <c r="L333" s="2"/>
      <c r="M333" s="2">
        <v>210</v>
      </c>
      <c r="N333" s="2">
        <v>177</v>
      </c>
      <c r="O333" s="2" t="s">
        <v>6</v>
      </c>
      <c r="P333" s="2" t="s">
        <v>52</v>
      </c>
      <c r="Q333" s="2"/>
      <c r="R333" s="2" t="s">
        <v>53</v>
      </c>
      <c r="S333" s="2">
        <v>8210302201</v>
      </c>
      <c r="T333" s="2" t="s">
        <v>1302</v>
      </c>
      <c r="U333" s="2" t="s">
        <v>1303</v>
      </c>
      <c r="V333" s="2">
        <v>9950699293</v>
      </c>
      <c r="W333" s="2" t="s">
        <v>956</v>
      </c>
      <c r="X333" s="2">
        <v>36000</v>
      </c>
      <c r="Y333" s="2" t="s">
        <v>55</v>
      </c>
      <c r="Z333" s="2" t="s">
        <v>55</v>
      </c>
      <c r="AA333" s="2" t="s">
        <v>56</v>
      </c>
      <c r="AB333" s="2">
        <v>17</v>
      </c>
      <c r="AC333" s="2" t="s">
        <v>57</v>
      </c>
      <c r="AD333" s="2">
        <v>0</v>
      </c>
    </row>
    <row r="334" spans="1:30" ht="30" x14ac:dyDescent="0.25">
      <c r="A334" s="2">
        <v>11</v>
      </c>
      <c r="B334" s="2" t="s">
        <v>49</v>
      </c>
      <c r="C334" s="2">
        <v>259</v>
      </c>
      <c r="D334" s="2"/>
      <c r="E334" s="2" t="s">
        <v>1304</v>
      </c>
      <c r="F334" s="2"/>
      <c r="G334" s="2" t="s">
        <v>912</v>
      </c>
      <c r="H334" s="2" t="s">
        <v>913</v>
      </c>
      <c r="I334" s="2" t="s">
        <v>67</v>
      </c>
      <c r="J334" s="3">
        <v>39621</v>
      </c>
      <c r="K334" s="2">
        <v>1114</v>
      </c>
      <c r="L334" s="2"/>
      <c r="M334" s="2">
        <v>210</v>
      </c>
      <c r="N334" s="2">
        <v>175</v>
      </c>
      <c r="O334" s="2" t="s">
        <v>6</v>
      </c>
      <c r="P334" s="2" t="s">
        <v>52</v>
      </c>
      <c r="Q334" s="2"/>
      <c r="R334" s="2" t="s">
        <v>53</v>
      </c>
      <c r="S334" s="2">
        <v>8210302201</v>
      </c>
      <c r="T334" s="2" t="s">
        <v>1305</v>
      </c>
      <c r="U334" s="2" t="s">
        <v>915</v>
      </c>
      <c r="V334" s="2">
        <v>9001840492</v>
      </c>
      <c r="W334" s="2" t="s">
        <v>956</v>
      </c>
      <c r="X334" s="2">
        <v>36000</v>
      </c>
      <c r="Y334" s="2" t="s">
        <v>55</v>
      </c>
      <c r="Z334" s="2" t="s">
        <v>55</v>
      </c>
      <c r="AA334" s="2" t="s">
        <v>56</v>
      </c>
      <c r="AB334" s="2">
        <v>17</v>
      </c>
      <c r="AC334" s="2" t="s">
        <v>57</v>
      </c>
      <c r="AD334" s="2">
        <v>0</v>
      </c>
    </row>
    <row r="335" spans="1:30" ht="30" x14ac:dyDescent="0.25">
      <c r="A335" s="2">
        <v>11</v>
      </c>
      <c r="B335" s="2" t="s">
        <v>49</v>
      </c>
      <c r="C335" s="2">
        <v>569</v>
      </c>
      <c r="D335" s="3">
        <v>43661</v>
      </c>
      <c r="E335" s="2" t="s">
        <v>1306</v>
      </c>
      <c r="F335" s="2"/>
      <c r="G335" s="2" t="s">
        <v>1127</v>
      </c>
      <c r="H335" s="2" t="s">
        <v>1307</v>
      </c>
      <c r="I335" s="2" t="s">
        <v>67</v>
      </c>
      <c r="J335" s="3">
        <v>38399</v>
      </c>
      <c r="K335" s="2">
        <v>1115</v>
      </c>
      <c r="L335" s="2"/>
      <c r="M335" s="2">
        <v>210</v>
      </c>
      <c r="N335" s="2">
        <v>159</v>
      </c>
      <c r="O335" s="2" t="s">
        <v>6</v>
      </c>
      <c r="P335" s="2" t="s">
        <v>52</v>
      </c>
      <c r="Q335" s="2"/>
      <c r="R335" s="2" t="s">
        <v>53</v>
      </c>
      <c r="S335" s="2">
        <v>8210302201</v>
      </c>
      <c r="T335" s="2"/>
      <c r="U335" s="2" t="s">
        <v>1129</v>
      </c>
      <c r="V335" s="2">
        <v>9001131547</v>
      </c>
      <c r="W335" s="2" t="s">
        <v>467</v>
      </c>
      <c r="X335" s="2">
        <v>48000</v>
      </c>
      <c r="Y335" s="2" t="s">
        <v>55</v>
      </c>
      <c r="Z335" s="2" t="s">
        <v>55</v>
      </c>
      <c r="AA335" s="2" t="s">
        <v>56</v>
      </c>
      <c r="AB335" s="2">
        <v>20</v>
      </c>
      <c r="AC335" s="2" t="s">
        <v>57</v>
      </c>
      <c r="AD335" s="2">
        <v>0</v>
      </c>
    </row>
    <row r="336" spans="1:30" ht="30" x14ac:dyDescent="0.25">
      <c r="A336" s="2">
        <v>11</v>
      </c>
      <c r="B336" s="2" t="s">
        <v>49</v>
      </c>
      <c r="C336" s="2">
        <v>269</v>
      </c>
      <c r="D336" s="2"/>
      <c r="E336" s="2" t="s">
        <v>1308</v>
      </c>
      <c r="F336" s="2"/>
      <c r="G336" s="2" t="s">
        <v>1019</v>
      </c>
      <c r="H336" s="2" t="s">
        <v>657</v>
      </c>
      <c r="I336" s="2" t="s">
        <v>51</v>
      </c>
      <c r="J336" s="3">
        <v>39509</v>
      </c>
      <c r="K336" s="2">
        <v>1116</v>
      </c>
      <c r="L336" s="2"/>
      <c r="M336" s="2">
        <v>210</v>
      </c>
      <c r="N336" s="2">
        <v>184</v>
      </c>
      <c r="O336" s="2" t="s">
        <v>6</v>
      </c>
      <c r="P336" s="2" t="s">
        <v>52</v>
      </c>
      <c r="Q336" s="2"/>
      <c r="R336" s="2" t="s">
        <v>53</v>
      </c>
      <c r="S336" s="2">
        <v>8210302201</v>
      </c>
      <c r="T336" s="2" t="s">
        <v>1309</v>
      </c>
      <c r="U336" s="2" t="s">
        <v>1310</v>
      </c>
      <c r="V336" s="2">
        <v>8890256237</v>
      </c>
      <c r="W336" s="2" t="s">
        <v>956</v>
      </c>
      <c r="X336" s="2">
        <v>36000</v>
      </c>
      <c r="Y336" s="2" t="s">
        <v>55</v>
      </c>
      <c r="Z336" s="2" t="s">
        <v>55</v>
      </c>
      <c r="AA336" s="2" t="s">
        <v>56</v>
      </c>
      <c r="AB336" s="2">
        <v>17</v>
      </c>
      <c r="AC336" s="2" t="s">
        <v>57</v>
      </c>
      <c r="AD336" s="2">
        <v>0</v>
      </c>
    </row>
    <row r="337" spans="1:30" ht="45" x14ac:dyDescent="0.25">
      <c r="A337" s="2">
        <v>11</v>
      </c>
      <c r="B337" s="2" t="s">
        <v>49</v>
      </c>
      <c r="C337" s="2">
        <v>590</v>
      </c>
      <c r="D337" s="3">
        <v>43679</v>
      </c>
      <c r="E337" s="2" t="s">
        <v>1311</v>
      </c>
      <c r="F337" s="2"/>
      <c r="G337" s="2" t="s">
        <v>1312</v>
      </c>
      <c r="H337" s="2" t="s">
        <v>699</v>
      </c>
      <c r="I337" s="2" t="s">
        <v>51</v>
      </c>
      <c r="J337" s="3">
        <v>39536</v>
      </c>
      <c r="K337" s="2">
        <v>1117</v>
      </c>
      <c r="L337" s="2"/>
      <c r="M337" s="2">
        <v>210</v>
      </c>
      <c r="N337" s="2">
        <v>163</v>
      </c>
      <c r="O337" s="2" t="s">
        <v>6</v>
      </c>
      <c r="P337" s="2"/>
      <c r="Q337" s="2"/>
      <c r="R337" s="2" t="s">
        <v>53</v>
      </c>
      <c r="S337" s="2">
        <v>8210302201</v>
      </c>
      <c r="T337" s="2" t="s">
        <v>1313</v>
      </c>
      <c r="U337" s="2" t="s">
        <v>1314</v>
      </c>
      <c r="V337" s="2">
        <v>8764071763</v>
      </c>
      <c r="W337" s="2" t="s">
        <v>1315</v>
      </c>
      <c r="X337" s="2">
        <v>40000</v>
      </c>
      <c r="Y337" s="2" t="s">
        <v>55</v>
      </c>
      <c r="Z337" s="2" t="s">
        <v>55</v>
      </c>
      <c r="AA337" s="2"/>
      <c r="AB337" s="2">
        <v>17</v>
      </c>
      <c r="AC337" s="2" t="s">
        <v>57</v>
      </c>
      <c r="AD337" s="2">
        <v>3</v>
      </c>
    </row>
    <row r="338" spans="1:30" ht="30" x14ac:dyDescent="0.25">
      <c r="A338" s="2">
        <v>11</v>
      </c>
      <c r="B338" s="2" t="s">
        <v>49</v>
      </c>
      <c r="C338" s="2">
        <v>509</v>
      </c>
      <c r="D338" s="3">
        <v>43292</v>
      </c>
      <c r="E338" s="2" t="s">
        <v>1316</v>
      </c>
      <c r="F338" s="2"/>
      <c r="G338" s="2" t="s">
        <v>1317</v>
      </c>
      <c r="H338" s="2" t="s">
        <v>964</v>
      </c>
      <c r="I338" s="2" t="s">
        <v>51</v>
      </c>
      <c r="J338" s="3">
        <v>38961</v>
      </c>
      <c r="K338" s="2">
        <v>1118</v>
      </c>
      <c r="L338" s="2"/>
      <c r="M338" s="2">
        <v>210</v>
      </c>
      <c r="N338" s="2">
        <v>186</v>
      </c>
      <c r="O338" s="2" t="s">
        <v>4</v>
      </c>
      <c r="P338" s="2" t="s">
        <v>52</v>
      </c>
      <c r="Q338" s="2"/>
      <c r="R338" s="2" t="s">
        <v>53</v>
      </c>
      <c r="S338" s="2">
        <v>8210302201</v>
      </c>
      <c r="T338" s="2" t="s">
        <v>1318</v>
      </c>
      <c r="U338" s="2" t="s">
        <v>1319</v>
      </c>
      <c r="V338" s="2">
        <v>9888888888</v>
      </c>
      <c r="W338" s="2" t="s">
        <v>1320</v>
      </c>
      <c r="X338" s="2">
        <v>60000</v>
      </c>
      <c r="Y338" s="2" t="s">
        <v>55</v>
      </c>
      <c r="Z338" s="2" t="s">
        <v>55</v>
      </c>
      <c r="AA338" s="2" t="s">
        <v>56</v>
      </c>
      <c r="AB338" s="2">
        <v>19</v>
      </c>
      <c r="AC338" s="2" t="s">
        <v>57</v>
      </c>
      <c r="AD338" s="2">
        <v>3</v>
      </c>
    </row>
    <row r="339" spans="1:30" ht="30" x14ac:dyDescent="0.25">
      <c r="A339" s="2">
        <v>11</v>
      </c>
      <c r="B339" s="2" t="s">
        <v>49</v>
      </c>
      <c r="C339" s="2">
        <v>239</v>
      </c>
      <c r="D339" s="2"/>
      <c r="E339" s="2" t="s">
        <v>1321</v>
      </c>
      <c r="F339" s="2"/>
      <c r="G339" s="2" t="s">
        <v>1114</v>
      </c>
      <c r="H339" s="2" t="s">
        <v>657</v>
      </c>
      <c r="I339" s="2" t="s">
        <v>51</v>
      </c>
      <c r="J339" s="3">
        <v>39609</v>
      </c>
      <c r="K339" s="2">
        <v>1119</v>
      </c>
      <c r="L339" s="2"/>
      <c r="M339" s="2">
        <v>210</v>
      </c>
      <c r="N339" s="2">
        <v>174</v>
      </c>
      <c r="O339" s="2" t="s">
        <v>6</v>
      </c>
      <c r="P339" s="2" t="s">
        <v>52</v>
      </c>
      <c r="Q339" s="2"/>
      <c r="R339" s="2" t="s">
        <v>53</v>
      </c>
      <c r="S339" s="2">
        <v>8210302201</v>
      </c>
      <c r="T339" s="2" t="s">
        <v>1322</v>
      </c>
      <c r="U339" s="2" t="s">
        <v>1116</v>
      </c>
      <c r="V339" s="2">
        <v>8002909894</v>
      </c>
      <c r="W339" s="2" t="s">
        <v>956</v>
      </c>
      <c r="X339" s="2">
        <v>48000</v>
      </c>
      <c r="Y339" s="2" t="s">
        <v>55</v>
      </c>
      <c r="Z339" s="2" t="s">
        <v>55</v>
      </c>
      <c r="AA339" s="2" t="s">
        <v>56</v>
      </c>
      <c r="AB339" s="2">
        <v>17</v>
      </c>
      <c r="AC339" s="2" t="s">
        <v>57</v>
      </c>
      <c r="AD339" s="2">
        <v>0</v>
      </c>
    </row>
    <row r="340" spans="1:30" ht="30" x14ac:dyDescent="0.25">
      <c r="A340" s="2">
        <v>11</v>
      </c>
      <c r="B340" s="2" t="s">
        <v>49</v>
      </c>
      <c r="C340" s="2">
        <v>512</v>
      </c>
      <c r="D340" s="3">
        <v>43292</v>
      </c>
      <c r="E340" s="2" t="s">
        <v>1323</v>
      </c>
      <c r="F340" s="2"/>
      <c r="G340" s="2" t="s">
        <v>1003</v>
      </c>
      <c r="H340" s="2" t="s">
        <v>592</v>
      </c>
      <c r="I340" s="2" t="s">
        <v>51</v>
      </c>
      <c r="J340" s="3">
        <v>38847</v>
      </c>
      <c r="K340" s="2">
        <v>1120</v>
      </c>
      <c r="L340" s="2"/>
      <c r="M340" s="2">
        <v>210</v>
      </c>
      <c r="N340" s="2">
        <v>165</v>
      </c>
      <c r="O340" s="2" t="s">
        <v>6</v>
      </c>
      <c r="P340" s="2" t="s">
        <v>52</v>
      </c>
      <c r="Q340" s="2"/>
      <c r="R340" s="2" t="s">
        <v>53</v>
      </c>
      <c r="S340" s="2">
        <v>8210302201</v>
      </c>
      <c r="T340" s="2" t="s">
        <v>1324</v>
      </c>
      <c r="U340" s="2" t="s">
        <v>1325</v>
      </c>
      <c r="V340" s="2">
        <v>6367778732</v>
      </c>
      <c r="W340" s="2" t="s">
        <v>1326</v>
      </c>
      <c r="X340" s="2">
        <v>60000</v>
      </c>
      <c r="Y340" s="2" t="s">
        <v>55</v>
      </c>
      <c r="Z340" s="2" t="s">
        <v>55</v>
      </c>
      <c r="AA340" s="2" t="s">
        <v>56</v>
      </c>
      <c r="AB340" s="2">
        <v>19</v>
      </c>
      <c r="AC340" s="2" t="s">
        <v>57</v>
      </c>
      <c r="AD340" s="2">
        <v>3</v>
      </c>
    </row>
    <row r="341" spans="1:30" ht="30" x14ac:dyDescent="0.25">
      <c r="A341" s="2">
        <v>11</v>
      </c>
      <c r="B341" s="2" t="s">
        <v>49</v>
      </c>
      <c r="C341" s="2">
        <v>849</v>
      </c>
      <c r="D341" s="3">
        <v>45126</v>
      </c>
      <c r="E341" s="2" t="s">
        <v>1078</v>
      </c>
      <c r="F341" s="2"/>
      <c r="G341" s="2" t="s">
        <v>1183</v>
      </c>
      <c r="H341" s="2" t="s">
        <v>592</v>
      </c>
      <c r="I341" s="2" t="s">
        <v>67</v>
      </c>
      <c r="J341" s="3">
        <v>39607</v>
      </c>
      <c r="K341" s="2">
        <v>1121</v>
      </c>
      <c r="L341" s="2"/>
      <c r="M341" s="2">
        <v>210</v>
      </c>
      <c r="N341" s="2">
        <v>149</v>
      </c>
      <c r="O341" s="2" t="s">
        <v>6</v>
      </c>
      <c r="P341" s="2" t="s">
        <v>52</v>
      </c>
      <c r="Q341" s="2"/>
      <c r="R341" s="2" t="s">
        <v>53</v>
      </c>
      <c r="S341" s="2">
        <v>8210302201</v>
      </c>
      <c r="T341" s="2" t="s">
        <v>1327</v>
      </c>
      <c r="U341" s="2" t="s">
        <v>1185</v>
      </c>
      <c r="V341" s="2">
        <v>9950773319</v>
      </c>
      <c r="W341" s="2" t="s">
        <v>956</v>
      </c>
      <c r="X341" s="2">
        <v>48000</v>
      </c>
      <c r="Y341" s="2" t="s">
        <v>55</v>
      </c>
      <c r="Z341" s="2" t="s">
        <v>55</v>
      </c>
      <c r="AA341" s="2" t="s">
        <v>56</v>
      </c>
      <c r="AB341" s="2">
        <v>17</v>
      </c>
      <c r="AC341" s="2" t="s">
        <v>57</v>
      </c>
      <c r="AD341" s="2">
        <v>0</v>
      </c>
    </row>
    <row r="342" spans="1:30" ht="30" x14ac:dyDescent="0.25">
      <c r="A342" s="2">
        <v>11</v>
      </c>
      <c r="B342" s="2" t="s">
        <v>49</v>
      </c>
      <c r="C342" s="2">
        <v>246</v>
      </c>
      <c r="D342" s="2"/>
      <c r="E342" s="2" t="s">
        <v>1328</v>
      </c>
      <c r="F342" s="2"/>
      <c r="G342" s="2" t="s">
        <v>1171</v>
      </c>
      <c r="H342" s="2" t="s">
        <v>1329</v>
      </c>
      <c r="I342" s="2" t="s">
        <v>67</v>
      </c>
      <c r="J342" s="3">
        <v>40027</v>
      </c>
      <c r="K342" s="2">
        <v>1122</v>
      </c>
      <c r="L342" s="2"/>
      <c r="M342" s="2">
        <v>210</v>
      </c>
      <c r="N342" s="2">
        <v>172</v>
      </c>
      <c r="O342" s="2" t="s">
        <v>6</v>
      </c>
      <c r="P342" s="2" t="s">
        <v>52</v>
      </c>
      <c r="Q342" s="2"/>
      <c r="R342" s="2" t="s">
        <v>53</v>
      </c>
      <c r="S342" s="2">
        <v>8210302201</v>
      </c>
      <c r="T342" s="2" t="s">
        <v>1330</v>
      </c>
      <c r="U342" s="2" t="s">
        <v>1331</v>
      </c>
      <c r="V342" s="2">
        <v>9166813165</v>
      </c>
      <c r="W342" s="2" t="s">
        <v>956</v>
      </c>
      <c r="X342" s="2">
        <v>50000</v>
      </c>
      <c r="Y342" s="2" t="s">
        <v>55</v>
      </c>
      <c r="Z342" s="2" t="s">
        <v>55</v>
      </c>
      <c r="AA342" s="2" t="s">
        <v>56</v>
      </c>
      <c r="AB342" s="2">
        <v>16</v>
      </c>
      <c r="AC342" s="2" t="s">
        <v>57</v>
      </c>
      <c r="AD342" s="2">
        <v>0</v>
      </c>
    </row>
    <row r="343" spans="1:30" ht="30" x14ac:dyDescent="0.25">
      <c r="A343" s="2">
        <v>11</v>
      </c>
      <c r="B343" s="2" t="s">
        <v>49</v>
      </c>
      <c r="C343" s="2">
        <v>242</v>
      </c>
      <c r="D343" s="2"/>
      <c r="E343" s="2" t="s">
        <v>1332</v>
      </c>
      <c r="F343" s="2"/>
      <c r="G343" s="2" t="s">
        <v>1333</v>
      </c>
      <c r="H343" s="2" t="s">
        <v>1334</v>
      </c>
      <c r="I343" s="2" t="s">
        <v>67</v>
      </c>
      <c r="J343" s="3">
        <v>39630</v>
      </c>
      <c r="K343" s="2">
        <v>1123</v>
      </c>
      <c r="L343" s="2"/>
      <c r="M343" s="2">
        <v>210</v>
      </c>
      <c r="N343" s="2">
        <v>162</v>
      </c>
      <c r="O343" s="2" t="s">
        <v>6</v>
      </c>
      <c r="P343" s="2" t="s">
        <v>52</v>
      </c>
      <c r="Q343" s="2"/>
      <c r="R343" s="2" t="s">
        <v>53</v>
      </c>
      <c r="S343" s="2">
        <v>8210302201</v>
      </c>
      <c r="T343" s="2" t="s">
        <v>1335</v>
      </c>
      <c r="U343" s="2" t="s">
        <v>1336</v>
      </c>
      <c r="V343" s="2">
        <v>8890654343</v>
      </c>
      <c r="W343" s="2" t="s">
        <v>956</v>
      </c>
      <c r="X343" s="2">
        <v>36000</v>
      </c>
      <c r="Y343" s="2" t="s">
        <v>55</v>
      </c>
      <c r="Z343" s="2" t="s">
        <v>55</v>
      </c>
      <c r="AA343" s="2" t="s">
        <v>56</v>
      </c>
      <c r="AB343" s="2">
        <v>17</v>
      </c>
      <c r="AC343" s="2" t="s">
        <v>57</v>
      </c>
      <c r="AD343" s="2">
        <v>0</v>
      </c>
    </row>
    <row r="344" spans="1:30" ht="45" x14ac:dyDescent="0.25">
      <c r="A344" s="2">
        <v>11</v>
      </c>
      <c r="B344" s="2" t="s">
        <v>49</v>
      </c>
      <c r="C344" s="2">
        <v>579</v>
      </c>
      <c r="D344" s="3">
        <v>43670</v>
      </c>
      <c r="E344" s="2" t="s">
        <v>1337</v>
      </c>
      <c r="F344" s="2"/>
      <c r="G344" s="2" t="s">
        <v>1338</v>
      </c>
      <c r="H344" s="2" t="s">
        <v>1339</v>
      </c>
      <c r="I344" s="2" t="s">
        <v>51</v>
      </c>
      <c r="J344" s="3">
        <v>39574</v>
      </c>
      <c r="K344" s="2">
        <v>1124</v>
      </c>
      <c r="L344" s="2"/>
      <c r="M344" s="2">
        <v>210</v>
      </c>
      <c r="N344" s="2">
        <v>171</v>
      </c>
      <c r="O344" s="2" t="s">
        <v>6</v>
      </c>
      <c r="P344" s="2" t="s">
        <v>52</v>
      </c>
      <c r="Q344" s="2"/>
      <c r="R344" s="2" t="s">
        <v>53</v>
      </c>
      <c r="S344" s="2">
        <v>8210302201</v>
      </c>
      <c r="T344" s="2" t="s">
        <v>1340</v>
      </c>
      <c r="U344" s="2" t="s">
        <v>1341</v>
      </c>
      <c r="V344" s="2">
        <v>9888888888</v>
      </c>
      <c r="W344" s="2" t="s">
        <v>1298</v>
      </c>
      <c r="X344" s="2">
        <v>48000</v>
      </c>
      <c r="Y344" s="2" t="s">
        <v>55</v>
      </c>
      <c r="Z344" s="2" t="s">
        <v>55</v>
      </c>
      <c r="AA344" s="2" t="s">
        <v>56</v>
      </c>
      <c r="AB344" s="2">
        <v>17</v>
      </c>
      <c r="AC344" s="2" t="s">
        <v>57</v>
      </c>
      <c r="AD344" s="2">
        <v>3</v>
      </c>
    </row>
    <row r="345" spans="1:30" ht="30" x14ac:dyDescent="0.25">
      <c r="A345" s="2">
        <v>11</v>
      </c>
      <c r="B345" s="2" t="s">
        <v>49</v>
      </c>
      <c r="C345" s="2">
        <v>238</v>
      </c>
      <c r="D345" s="2"/>
      <c r="E345" s="2" t="s">
        <v>1342</v>
      </c>
      <c r="F345" s="2"/>
      <c r="G345" s="2" t="s">
        <v>1343</v>
      </c>
      <c r="H345" s="2" t="s">
        <v>1344</v>
      </c>
      <c r="I345" s="2" t="s">
        <v>51</v>
      </c>
      <c r="J345" s="3">
        <v>39630</v>
      </c>
      <c r="K345" s="2">
        <v>1125</v>
      </c>
      <c r="L345" s="2"/>
      <c r="M345" s="2">
        <v>210</v>
      </c>
      <c r="N345" s="2">
        <v>178</v>
      </c>
      <c r="O345" s="2" t="s">
        <v>6</v>
      </c>
      <c r="P345" s="2" t="s">
        <v>52</v>
      </c>
      <c r="Q345" s="2"/>
      <c r="R345" s="2" t="s">
        <v>53</v>
      </c>
      <c r="S345" s="2">
        <v>8210302201</v>
      </c>
      <c r="T345" s="2" t="s">
        <v>1345</v>
      </c>
      <c r="U345" s="2" t="s">
        <v>1346</v>
      </c>
      <c r="V345" s="2">
        <v>7742432364</v>
      </c>
      <c r="W345" s="2" t="s">
        <v>956</v>
      </c>
      <c r="X345" s="2">
        <v>36000</v>
      </c>
      <c r="Y345" s="2" t="s">
        <v>55</v>
      </c>
      <c r="Z345" s="2" t="s">
        <v>55</v>
      </c>
      <c r="AA345" s="2" t="s">
        <v>56</v>
      </c>
      <c r="AB345" s="2">
        <v>17</v>
      </c>
      <c r="AC345" s="2" t="s">
        <v>57</v>
      </c>
      <c r="AD345" s="2">
        <v>0</v>
      </c>
    </row>
    <row r="346" spans="1:30" ht="30" x14ac:dyDescent="0.25">
      <c r="A346" s="2">
        <v>11</v>
      </c>
      <c r="B346" s="2" t="s">
        <v>49</v>
      </c>
      <c r="C346" s="2">
        <v>302</v>
      </c>
      <c r="D346" s="2"/>
      <c r="E346" s="2" t="s">
        <v>1347</v>
      </c>
      <c r="F346" s="2"/>
      <c r="G346" s="2" t="s">
        <v>1348</v>
      </c>
      <c r="H346" s="2" t="s">
        <v>852</v>
      </c>
      <c r="I346" s="2" t="s">
        <v>51</v>
      </c>
      <c r="J346" s="3">
        <v>39570</v>
      </c>
      <c r="K346" s="2">
        <v>1126</v>
      </c>
      <c r="L346" s="2"/>
      <c r="M346" s="2">
        <v>210</v>
      </c>
      <c r="N346" s="2">
        <v>188</v>
      </c>
      <c r="O346" s="2" t="s">
        <v>6</v>
      </c>
      <c r="P346" s="2" t="s">
        <v>52</v>
      </c>
      <c r="Q346" s="2"/>
      <c r="R346" s="2" t="s">
        <v>53</v>
      </c>
      <c r="S346" s="2">
        <v>8210302201</v>
      </c>
      <c r="T346" s="2" t="s">
        <v>1349</v>
      </c>
      <c r="U346" s="2" t="s">
        <v>1350</v>
      </c>
      <c r="V346" s="2">
        <v>9929611454</v>
      </c>
      <c r="W346" s="2" t="s">
        <v>956</v>
      </c>
      <c r="X346" s="2">
        <v>36000</v>
      </c>
      <c r="Y346" s="2" t="s">
        <v>55</v>
      </c>
      <c r="Z346" s="2" t="s">
        <v>55</v>
      </c>
      <c r="AA346" s="2" t="s">
        <v>56</v>
      </c>
      <c r="AB346" s="2">
        <v>17</v>
      </c>
      <c r="AC346" s="2" t="s">
        <v>57</v>
      </c>
      <c r="AD346" s="2">
        <v>0</v>
      </c>
    </row>
    <row r="347" spans="1:30" ht="30" x14ac:dyDescent="0.25">
      <c r="A347" s="2">
        <v>11</v>
      </c>
      <c r="B347" s="2" t="s">
        <v>49</v>
      </c>
      <c r="C347" s="2">
        <v>492</v>
      </c>
      <c r="D347" s="3">
        <v>43290</v>
      </c>
      <c r="E347" s="2" t="s">
        <v>1250</v>
      </c>
      <c r="F347" s="2"/>
      <c r="G347" s="2" t="s">
        <v>1351</v>
      </c>
      <c r="H347" s="2" t="s">
        <v>964</v>
      </c>
      <c r="I347" s="2" t="s">
        <v>51</v>
      </c>
      <c r="J347" s="3">
        <v>39722</v>
      </c>
      <c r="K347" s="2">
        <v>1127</v>
      </c>
      <c r="L347" s="2"/>
      <c r="M347" s="2">
        <v>210</v>
      </c>
      <c r="N347" s="2">
        <v>186</v>
      </c>
      <c r="O347" s="2" t="s">
        <v>4</v>
      </c>
      <c r="P347" s="2" t="s">
        <v>52</v>
      </c>
      <c r="Q347" s="2"/>
      <c r="R347" s="2" t="s">
        <v>53</v>
      </c>
      <c r="S347" s="2">
        <v>8210302201</v>
      </c>
      <c r="T347" s="2" t="s">
        <v>1352</v>
      </c>
      <c r="U347" s="2" t="s">
        <v>683</v>
      </c>
      <c r="V347" s="2">
        <v>9888888888</v>
      </c>
      <c r="W347" s="2" t="s">
        <v>1023</v>
      </c>
      <c r="X347" s="2">
        <v>60000</v>
      </c>
      <c r="Y347" s="2" t="s">
        <v>55</v>
      </c>
      <c r="Z347" s="2" t="s">
        <v>55</v>
      </c>
      <c r="AA347" s="2" t="s">
        <v>56</v>
      </c>
      <c r="AB347" s="2">
        <v>17</v>
      </c>
      <c r="AC347" s="2" t="s">
        <v>57</v>
      </c>
      <c r="AD347" s="2">
        <v>3</v>
      </c>
    </row>
    <row r="348" spans="1:30" ht="30" x14ac:dyDescent="0.25">
      <c r="A348" s="2">
        <v>11</v>
      </c>
      <c r="B348" s="2" t="s">
        <v>49</v>
      </c>
      <c r="C348" s="2">
        <v>843</v>
      </c>
      <c r="D348" s="3">
        <v>45125</v>
      </c>
      <c r="E348" s="2" t="s">
        <v>1353</v>
      </c>
      <c r="F348" s="2"/>
      <c r="G348" s="2" t="s">
        <v>1354</v>
      </c>
      <c r="H348" s="2" t="s">
        <v>512</v>
      </c>
      <c r="I348" s="2" t="s">
        <v>67</v>
      </c>
      <c r="J348" s="3">
        <v>38900</v>
      </c>
      <c r="K348" s="2">
        <v>1128</v>
      </c>
      <c r="L348" s="2"/>
      <c r="M348" s="2">
        <v>210</v>
      </c>
      <c r="N348" s="2">
        <v>168</v>
      </c>
      <c r="O348" s="2" t="s">
        <v>6</v>
      </c>
      <c r="P348" s="2" t="s">
        <v>52</v>
      </c>
      <c r="Q348" s="2"/>
      <c r="R348" s="2" t="s">
        <v>53</v>
      </c>
      <c r="S348" s="2">
        <v>8210302201</v>
      </c>
      <c r="T348" s="2" t="s">
        <v>1355</v>
      </c>
      <c r="U348" s="2" t="s">
        <v>1356</v>
      </c>
      <c r="V348" s="2">
        <v>9636207709</v>
      </c>
      <c r="W348" s="2" t="s">
        <v>1357</v>
      </c>
      <c r="X348" s="2">
        <v>48000</v>
      </c>
      <c r="Y348" s="2" t="s">
        <v>55</v>
      </c>
      <c r="Z348" s="2" t="s">
        <v>55</v>
      </c>
      <c r="AA348" s="2" t="s">
        <v>56</v>
      </c>
      <c r="AB348" s="2">
        <v>19</v>
      </c>
      <c r="AC348" s="2" t="s">
        <v>57</v>
      </c>
      <c r="AD348" s="2">
        <v>0</v>
      </c>
    </row>
    <row r="349" spans="1:30" ht="30" x14ac:dyDescent="0.25">
      <c r="A349" s="2">
        <v>11</v>
      </c>
      <c r="B349" s="2" t="s">
        <v>49</v>
      </c>
      <c r="C349" s="2">
        <v>857</v>
      </c>
      <c r="D349" s="3">
        <v>45140</v>
      </c>
      <c r="E349" s="2" t="s">
        <v>1358</v>
      </c>
      <c r="F349" s="2"/>
      <c r="G349" s="2" t="s">
        <v>1359</v>
      </c>
      <c r="H349" s="2" t="s">
        <v>1360</v>
      </c>
      <c r="I349" s="2" t="s">
        <v>67</v>
      </c>
      <c r="J349" s="3">
        <v>39607</v>
      </c>
      <c r="K349" s="2">
        <v>1129</v>
      </c>
      <c r="L349" s="2"/>
      <c r="M349" s="2">
        <v>210</v>
      </c>
      <c r="N349" s="2">
        <v>186</v>
      </c>
      <c r="O349" s="2" t="s">
        <v>6</v>
      </c>
      <c r="P349" s="2"/>
      <c r="Q349" s="2"/>
      <c r="R349" s="2" t="s">
        <v>53</v>
      </c>
      <c r="S349" s="2">
        <v>8210302201</v>
      </c>
      <c r="T349" s="2"/>
      <c r="U349" s="2"/>
      <c r="V349" s="2">
        <v>9571125610</v>
      </c>
      <c r="W349" s="2"/>
      <c r="X349" s="2"/>
      <c r="Y349" s="2" t="s">
        <v>55</v>
      </c>
      <c r="Z349" s="2" t="s">
        <v>190</v>
      </c>
      <c r="AA349" s="2"/>
      <c r="AB349" s="2">
        <v>17</v>
      </c>
      <c r="AC349" s="2"/>
      <c r="AD349" s="2">
        <v>0</v>
      </c>
    </row>
    <row r="350" spans="1:30" ht="30" x14ac:dyDescent="0.25">
      <c r="A350" s="2">
        <v>12</v>
      </c>
      <c r="B350" s="2" t="s">
        <v>49</v>
      </c>
      <c r="C350" s="2">
        <v>440</v>
      </c>
      <c r="D350" s="3">
        <v>42941</v>
      </c>
      <c r="E350" s="2" t="s">
        <v>1361</v>
      </c>
      <c r="F350" s="2"/>
      <c r="G350" s="2" t="s">
        <v>1362</v>
      </c>
      <c r="H350" s="2" t="s">
        <v>657</v>
      </c>
      <c r="I350" s="2" t="s">
        <v>67</v>
      </c>
      <c r="J350" s="3">
        <v>39637</v>
      </c>
      <c r="K350" s="2">
        <v>1201</v>
      </c>
      <c r="L350" s="2">
        <v>2904815</v>
      </c>
      <c r="M350" s="2">
        <v>158</v>
      </c>
      <c r="N350" s="2">
        <v>144</v>
      </c>
      <c r="O350" s="2" t="s">
        <v>6</v>
      </c>
      <c r="P350" s="2" t="s">
        <v>52</v>
      </c>
      <c r="Q350" s="2"/>
      <c r="R350" s="2" t="s">
        <v>53</v>
      </c>
      <c r="S350" s="2">
        <v>8210302201</v>
      </c>
      <c r="T350" s="2" t="s">
        <v>1363</v>
      </c>
      <c r="U350" s="2"/>
      <c r="V350" s="2">
        <v>9571360264</v>
      </c>
      <c r="W350" s="2" t="s">
        <v>796</v>
      </c>
      <c r="X350" s="2">
        <v>40000</v>
      </c>
      <c r="Y350" s="2" t="s">
        <v>55</v>
      </c>
      <c r="Z350" s="2" t="s">
        <v>55</v>
      </c>
      <c r="AA350" s="2" t="s">
        <v>56</v>
      </c>
      <c r="AB350" s="2">
        <v>17</v>
      </c>
      <c r="AC350" s="2" t="s">
        <v>57</v>
      </c>
      <c r="AD350" s="2">
        <v>0</v>
      </c>
    </row>
    <row r="351" spans="1:30" ht="45" x14ac:dyDescent="0.25">
      <c r="A351" s="2">
        <v>12</v>
      </c>
      <c r="B351" s="2" t="s">
        <v>49</v>
      </c>
      <c r="C351" s="2">
        <v>774</v>
      </c>
      <c r="D351" s="3">
        <v>44404</v>
      </c>
      <c r="E351" s="2" t="s">
        <v>1364</v>
      </c>
      <c r="F351" s="2"/>
      <c r="G351" s="2" t="s">
        <v>629</v>
      </c>
      <c r="H351" s="2" t="s">
        <v>1365</v>
      </c>
      <c r="I351" s="2" t="s">
        <v>67</v>
      </c>
      <c r="J351" s="3">
        <v>39117</v>
      </c>
      <c r="K351" s="2">
        <v>1202</v>
      </c>
      <c r="L351" s="2">
        <v>2904816</v>
      </c>
      <c r="M351" s="2">
        <v>158</v>
      </c>
      <c r="N351" s="2">
        <v>142</v>
      </c>
      <c r="O351" s="2" t="s">
        <v>6</v>
      </c>
      <c r="P351" s="2" t="s">
        <v>52</v>
      </c>
      <c r="Q351" s="2"/>
      <c r="R351" s="2" t="s">
        <v>53</v>
      </c>
      <c r="S351" s="2">
        <v>8210302201</v>
      </c>
      <c r="T351" s="2" t="s">
        <v>1366</v>
      </c>
      <c r="U351" s="2"/>
      <c r="V351" s="2">
        <v>9928289896</v>
      </c>
      <c r="W351" s="2" t="s">
        <v>1367</v>
      </c>
      <c r="X351" s="2">
        <v>60000</v>
      </c>
      <c r="Y351" s="2" t="s">
        <v>55</v>
      </c>
      <c r="Z351" s="2" t="s">
        <v>55</v>
      </c>
      <c r="AA351" s="2" t="s">
        <v>56</v>
      </c>
      <c r="AB351" s="2">
        <v>18</v>
      </c>
      <c r="AC351" s="2" t="s">
        <v>57</v>
      </c>
      <c r="AD351" s="2">
        <v>5</v>
      </c>
    </row>
    <row r="352" spans="1:30" ht="30" x14ac:dyDescent="0.25">
      <c r="A352" s="2">
        <v>12</v>
      </c>
      <c r="B352" s="2" t="s">
        <v>49</v>
      </c>
      <c r="C352" s="2">
        <v>479</v>
      </c>
      <c r="D352" s="3">
        <v>43285</v>
      </c>
      <c r="E352" s="2" t="s">
        <v>1368</v>
      </c>
      <c r="F352" s="2"/>
      <c r="G352" s="2" t="s">
        <v>1369</v>
      </c>
      <c r="H352" s="2" t="s">
        <v>643</v>
      </c>
      <c r="I352" s="2" t="s">
        <v>67</v>
      </c>
      <c r="J352" s="3">
        <v>39602</v>
      </c>
      <c r="K352" s="2">
        <v>1203</v>
      </c>
      <c r="L352" s="2">
        <v>2904817</v>
      </c>
      <c r="M352" s="2">
        <v>158</v>
      </c>
      <c r="N352" s="2">
        <v>136</v>
      </c>
      <c r="O352" s="2" t="s">
        <v>4</v>
      </c>
      <c r="P352" s="2" t="s">
        <v>52</v>
      </c>
      <c r="Q352" s="2"/>
      <c r="R352" s="2" t="s">
        <v>53</v>
      </c>
      <c r="S352" s="2">
        <v>8210302201</v>
      </c>
      <c r="T352" s="2" t="s">
        <v>1370</v>
      </c>
      <c r="U352" s="2" t="s">
        <v>1371</v>
      </c>
      <c r="V352" s="2">
        <v>9636525240</v>
      </c>
      <c r="W352" s="2" t="s">
        <v>815</v>
      </c>
      <c r="X352" s="2">
        <v>36000</v>
      </c>
      <c r="Y352" s="2" t="s">
        <v>55</v>
      </c>
      <c r="Z352" s="2" t="s">
        <v>55</v>
      </c>
      <c r="AA352" s="2" t="s">
        <v>56</v>
      </c>
      <c r="AB352" s="2">
        <v>17</v>
      </c>
      <c r="AC352" s="2" t="s">
        <v>57</v>
      </c>
      <c r="AD352" s="2">
        <v>1</v>
      </c>
    </row>
    <row r="353" spans="1:30" ht="30" x14ac:dyDescent="0.25">
      <c r="A353" s="2">
        <v>12</v>
      </c>
      <c r="B353" s="2" t="s">
        <v>49</v>
      </c>
      <c r="C353" s="2">
        <v>625</v>
      </c>
      <c r="D353" s="3">
        <v>44056</v>
      </c>
      <c r="E353" s="2" t="s">
        <v>1462</v>
      </c>
      <c r="F353" s="2"/>
      <c r="G353" s="2" t="s">
        <v>1078</v>
      </c>
      <c r="H353" s="2" t="s">
        <v>1463</v>
      </c>
      <c r="I353" s="2" t="s">
        <v>51</v>
      </c>
      <c r="J353" s="3">
        <v>39706</v>
      </c>
      <c r="K353" s="2">
        <v>1204</v>
      </c>
      <c r="L353" s="2">
        <v>2904818</v>
      </c>
      <c r="M353" s="2">
        <v>158</v>
      </c>
      <c r="N353" s="2">
        <v>154</v>
      </c>
      <c r="O353" s="2" t="s">
        <v>6</v>
      </c>
      <c r="P353" s="2" t="s">
        <v>52</v>
      </c>
      <c r="Q353" s="2"/>
      <c r="R353" s="2" t="s">
        <v>53</v>
      </c>
      <c r="S353" s="2">
        <v>8210302201</v>
      </c>
      <c r="T353" s="2" t="s">
        <v>700</v>
      </c>
      <c r="U353" s="2"/>
      <c r="V353" s="2">
        <v>9784173672</v>
      </c>
      <c r="W353" s="2" t="s">
        <v>226</v>
      </c>
      <c r="X353" s="2">
        <v>60000</v>
      </c>
      <c r="Y353" s="2" t="s">
        <v>55</v>
      </c>
      <c r="Z353" s="2" t="s">
        <v>55</v>
      </c>
      <c r="AA353" s="2" t="s">
        <v>56</v>
      </c>
      <c r="AB353" s="2">
        <v>17</v>
      </c>
      <c r="AC353" s="2" t="s">
        <v>57</v>
      </c>
      <c r="AD353" s="2">
        <v>0</v>
      </c>
    </row>
    <row r="354" spans="1:30" ht="30" x14ac:dyDescent="0.25">
      <c r="A354" s="2">
        <v>12</v>
      </c>
      <c r="B354" s="2" t="s">
        <v>49</v>
      </c>
      <c r="C354" s="2">
        <v>298</v>
      </c>
      <c r="D354" s="2"/>
      <c r="E354" s="2" t="s">
        <v>1464</v>
      </c>
      <c r="F354" s="2"/>
      <c r="G354" s="2" t="s">
        <v>1071</v>
      </c>
      <c r="H354" s="2" t="s">
        <v>953</v>
      </c>
      <c r="I354" s="2" t="s">
        <v>67</v>
      </c>
      <c r="J354" s="3">
        <v>39204</v>
      </c>
      <c r="K354" s="2">
        <v>1205</v>
      </c>
      <c r="L354" s="2">
        <v>2904819</v>
      </c>
      <c r="M354" s="2">
        <v>158</v>
      </c>
      <c r="N354" s="2">
        <v>152</v>
      </c>
      <c r="O354" s="2" t="s">
        <v>6</v>
      </c>
      <c r="P354" s="2" t="s">
        <v>52</v>
      </c>
      <c r="Q354" s="2"/>
      <c r="R354" s="2" t="s">
        <v>53</v>
      </c>
      <c r="S354" s="2">
        <v>8210302201</v>
      </c>
      <c r="T354" s="2" t="s">
        <v>1465</v>
      </c>
      <c r="U354" s="2" t="s">
        <v>1466</v>
      </c>
      <c r="V354" s="2">
        <v>9950482756</v>
      </c>
      <c r="W354" s="2" t="s">
        <v>956</v>
      </c>
      <c r="X354" s="2">
        <v>40000</v>
      </c>
      <c r="Y354" s="2" t="s">
        <v>55</v>
      </c>
      <c r="Z354" s="2" t="s">
        <v>55</v>
      </c>
      <c r="AA354" s="2" t="s">
        <v>56</v>
      </c>
      <c r="AB354" s="2">
        <v>18</v>
      </c>
      <c r="AC354" s="2" t="s">
        <v>57</v>
      </c>
      <c r="AD354" s="2">
        <v>0</v>
      </c>
    </row>
    <row r="355" spans="1:30" ht="30" x14ac:dyDescent="0.25">
      <c r="A355" s="2">
        <v>12</v>
      </c>
      <c r="B355" s="2" t="s">
        <v>49</v>
      </c>
      <c r="C355" s="2">
        <v>854</v>
      </c>
      <c r="D355" s="3">
        <v>45131</v>
      </c>
      <c r="E355" s="2" t="s">
        <v>1467</v>
      </c>
      <c r="F355" s="2"/>
      <c r="G355" s="2" t="s">
        <v>1468</v>
      </c>
      <c r="H355" s="2" t="s">
        <v>810</v>
      </c>
      <c r="I355" s="2" t="s">
        <v>51</v>
      </c>
      <c r="J355" s="3">
        <v>39162</v>
      </c>
      <c r="K355" s="2">
        <v>1206</v>
      </c>
      <c r="L355" s="2">
        <v>2904820</v>
      </c>
      <c r="M355" s="2">
        <v>158</v>
      </c>
      <c r="N355" s="2">
        <v>158</v>
      </c>
      <c r="O355" s="2" t="s">
        <v>6</v>
      </c>
      <c r="P355" s="2"/>
      <c r="Q355" s="2"/>
      <c r="R355" s="2" t="s">
        <v>53</v>
      </c>
      <c r="S355" s="2">
        <v>8210302201</v>
      </c>
      <c r="T355" s="2" t="s">
        <v>1469</v>
      </c>
      <c r="U355" s="2"/>
      <c r="V355" s="2">
        <v>9929248449</v>
      </c>
      <c r="W355" s="2"/>
      <c r="X355" s="2"/>
      <c r="Y355" s="2" t="s">
        <v>55</v>
      </c>
      <c r="Z355" s="2" t="s">
        <v>190</v>
      </c>
      <c r="AA355" s="2"/>
      <c r="AB355" s="2">
        <v>18</v>
      </c>
      <c r="AC355" s="2"/>
      <c r="AD355" s="2">
        <v>3</v>
      </c>
    </row>
    <row r="356" spans="1:30" ht="30" x14ac:dyDescent="0.25">
      <c r="A356" s="2">
        <v>12</v>
      </c>
      <c r="B356" s="2" t="s">
        <v>49</v>
      </c>
      <c r="C356" s="2">
        <v>828</v>
      </c>
      <c r="D356" s="3">
        <v>45118</v>
      </c>
      <c r="E356" s="2" t="s">
        <v>1470</v>
      </c>
      <c r="F356" s="2"/>
      <c r="G356" s="2" t="s">
        <v>1471</v>
      </c>
      <c r="H356" s="2" t="s">
        <v>1472</v>
      </c>
      <c r="I356" s="2" t="s">
        <v>67</v>
      </c>
      <c r="J356" s="3">
        <v>39698</v>
      </c>
      <c r="K356" s="2">
        <v>1207</v>
      </c>
      <c r="L356" s="2">
        <v>2904821</v>
      </c>
      <c r="M356" s="2">
        <v>158</v>
      </c>
      <c r="N356" s="2">
        <v>153</v>
      </c>
      <c r="O356" s="2" t="s">
        <v>6</v>
      </c>
      <c r="P356" s="2" t="s">
        <v>52</v>
      </c>
      <c r="Q356" s="2"/>
      <c r="R356" s="2" t="s">
        <v>53</v>
      </c>
      <c r="S356" s="2">
        <v>8210302201</v>
      </c>
      <c r="T356" s="2" t="s">
        <v>1473</v>
      </c>
      <c r="U356" s="2" t="s">
        <v>1474</v>
      </c>
      <c r="V356" s="2">
        <v>9829808148</v>
      </c>
      <c r="W356" s="2" t="s">
        <v>1475</v>
      </c>
      <c r="X356" s="2">
        <v>60000</v>
      </c>
      <c r="Y356" s="2" t="s">
        <v>55</v>
      </c>
      <c r="Z356" s="2" t="s">
        <v>55</v>
      </c>
      <c r="AA356" s="2" t="s">
        <v>56</v>
      </c>
      <c r="AB356" s="2">
        <v>17</v>
      </c>
      <c r="AC356" s="2" t="s">
        <v>57</v>
      </c>
      <c r="AD356" s="2">
        <v>4</v>
      </c>
    </row>
    <row r="357" spans="1:30" ht="30" x14ac:dyDescent="0.25">
      <c r="A357" s="2">
        <v>12</v>
      </c>
      <c r="B357" s="2" t="s">
        <v>49</v>
      </c>
      <c r="C357" s="2">
        <v>724</v>
      </c>
      <c r="D357" s="3">
        <v>44431</v>
      </c>
      <c r="E357" s="2" t="s">
        <v>1476</v>
      </c>
      <c r="F357" s="2"/>
      <c r="G357" s="2" t="s">
        <v>1477</v>
      </c>
      <c r="H357" s="2" t="s">
        <v>1478</v>
      </c>
      <c r="I357" s="2" t="s">
        <v>51</v>
      </c>
      <c r="J357" s="3">
        <v>38847</v>
      </c>
      <c r="K357" s="2">
        <v>1208</v>
      </c>
      <c r="L357" s="2">
        <v>2904822</v>
      </c>
      <c r="M357" s="2">
        <v>158</v>
      </c>
      <c r="N357" s="2">
        <v>140</v>
      </c>
      <c r="O357" s="2" t="s">
        <v>6</v>
      </c>
      <c r="P357" s="2"/>
      <c r="Q357" s="2"/>
      <c r="R357" s="2" t="s">
        <v>53</v>
      </c>
      <c r="S357" s="2">
        <v>8210302201</v>
      </c>
      <c r="T357" s="2" t="s">
        <v>1479</v>
      </c>
      <c r="U357" s="2"/>
      <c r="V357" s="2">
        <v>9829681424</v>
      </c>
      <c r="W357" s="2" t="s">
        <v>201</v>
      </c>
      <c r="X357" s="2">
        <v>80000</v>
      </c>
      <c r="Y357" s="2" t="s">
        <v>55</v>
      </c>
      <c r="Z357" s="2" t="s">
        <v>55</v>
      </c>
      <c r="AA357" s="2"/>
      <c r="AB357" s="2">
        <v>19</v>
      </c>
      <c r="AC357" s="2" t="s">
        <v>57</v>
      </c>
      <c r="AD357" s="2">
        <v>0</v>
      </c>
    </row>
    <row r="358" spans="1:30" ht="30" x14ac:dyDescent="0.25">
      <c r="A358" s="2">
        <v>12</v>
      </c>
      <c r="B358" s="2" t="s">
        <v>49</v>
      </c>
      <c r="C358" s="2">
        <v>851</v>
      </c>
      <c r="D358" s="3">
        <v>45128</v>
      </c>
      <c r="E358" s="2" t="s">
        <v>1480</v>
      </c>
      <c r="F358" s="2"/>
      <c r="G358" s="2" t="s">
        <v>1481</v>
      </c>
      <c r="H358" s="2" t="s">
        <v>377</v>
      </c>
      <c r="I358" s="2" t="s">
        <v>67</v>
      </c>
      <c r="J358" s="3">
        <v>39742</v>
      </c>
      <c r="K358" s="2">
        <v>1209</v>
      </c>
      <c r="L358" s="2">
        <v>2904823</v>
      </c>
      <c r="M358" s="2">
        <v>158</v>
      </c>
      <c r="N358" s="2">
        <v>144</v>
      </c>
      <c r="O358" s="2" t="s">
        <v>6</v>
      </c>
      <c r="P358" s="2" t="s">
        <v>52</v>
      </c>
      <c r="Q358" s="2"/>
      <c r="R358" s="2" t="s">
        <v>53</v>
      </c>
      <c r="S358" s="2">
        <v>8210302201</v>
      </c>
      <c r="T358" s="2"/>
      <c r="U358" s="2"/>
      <c r="V358" s="2">
        <v>9521850130</v>
      </c>
      <c r="W358" s="2" t="s">
        <v>54</v>
      </c>
      <c r="X358" s="2">
        <v>0</v>
      </c>
      <c r="Y358" s="2" t="s">
        <v>55</v>
      </c>
      <c r="Z358" s="2" t="s">
        <v>55</v>
      </c>
      <c r="AA358" s="2" t="s">
        <v>56</v>
      </c>
      <c r="AB358" s="2">
        <v>17</v>
      </c>
      <c r="AC358" s="2" t="s">
        <v>57</v>
      </c>
      <c r="AD358" s="2">
        <v>0</v>
      </c>
    </row>
    <row r="359" spans="1:30" ht="30" x14ac:dyDescent="0.25">
      <c r="A359" s="2">
        <v>12</v>
      </c>
      <c r="B359" s="2" t="s">
        <v>49</v>
      </c>
      <c r="C359" s="2">
        <v>416</v>
      </c>
      <c r="D359" s="3">
        <v>42922</v>
      </c>
      <c r="E359" s="2" t="s">
        <v>1482</v>
      </c>
      <c r="F359" s="2"/>
      <c r="G359" s="2" t="s">
        <v>563</v>
      </c>
      <c r="H359" s="2" t="s">
        <v>909</v>
      </c>
      <c r="I359" s="2" t="s">
        <v>67</v>
      </c>
      <c r="J359" s="3">
        <v>38983</v>
      </c>
      <c r="K359" s="2">
        <v>1210</v>
      </c>
      <c r="L359" s="2">
        <v>2904824</v>
      </c>
      <c r="M359" s="2">
        <v>158</v>
      </c>
      <c r="N359" s="2">
        <v>140</v>
      </c>
      <c r="O359" s="2" t="s">
        <v>6</v>
      </c>
      <c r="P359" s="2" t="s">
        <v>52</v>
      </c>
      <c r="Q359" s="2"/>
      <c r="R359" s="2" t="s">
        <v>53</v>
      </c>
      <c r="S359" s="2">
        <v>8210302201</v>
      </c>
      <c r="T359" s="2" t="s">
        <v>1483</v>
      </c>
      <c r="U359" s="2" t="s">
        <v>1484</v>
      </c>
      <c r="V359" s="2">
        <v>9829237415</v>
      </c>
      <c r="W359" s="2" t="s">
        <v>1485</v>
      </c>
      <c r="X359" s="2">
        <v>40000</v>
      </c>
      <c r="Y359" s="2" t="s">
        <v>55</v>
      </c>
      <c r="Z359" s="2" t="s">
        <v>55</v>
      </c>
      <c r="AA359" s="2" t="s">
        <v>56</v>
      </c>
      <c r="AB359" s="2">
        <v>19</v>
      </c>
      <c r="AC359" s="2" t="s">
        <v>57</v>
      </c>
      <c r="AD359" s="2">
        <v>0</v>
      </c>
    </row>
    <row r="360" spans="1:30" ht="30" x14ac:dyDescent="0.25">
      <c r="A360" s="2">
        <v>12</v>
      </c>
      <c r="B360" s="2" t="s">
        <v>49</v>
      </c>
      <c r="C360" s="2">
        <v>833</v>
      </c>
      <c r="D360" s="3">
        <v>45120</v>
      </c>
      <c r="E360" s="2" t="s">
        <v>1486</v>
      </c>
      <c r="F360" s="2"/>
      <c r="G360" s="2" t="s">
        <v>1243</v>
      </c>
      <c r="H360" s="2" t="s">
        <v>743</v>
      </c>
      <c r="I360" s="2" t="s">
        <v>67</v>
      </c>
      <c r="J360" s="3">
        <v>38419</v>
      </c>
      <c r="K360" s="2">
        <v>1211</v>
      </c>
      <c r="L360" s="2">
        <v>2904825</v>
      </c>
      <c r="M360" s="2">
        <v>158</v>
      </c>
      <c r="N360" s="2">
        <v>135</v>
      </c>
      <c r="O360" s="2" t="s">
        <v>5</v>
      </c>
      <c r="P360" s="2"/>
      <c r="Q360" s="2"/>
      <c r="R360" s="2" t="s">
        <v>53</v>
      </c>
      <c r="S360" s="2">
        <v>8210302201</v>
      </c>
      <c r="T360" s="2" t="s">
        <v>1487</v>
      </c>
      <c r="U360" s="2" t="s">
        <v>1245</v>
      </c>
      <c r="V360" s="2">
        <v>9799896135</v>
      </c>
      <c r="W360" s="2" t="s">
        <v>1488</v>
      </c>
      <c r="X360" s="2">
        <v>36000</v>
      </c>
      <c r="Y360" s="2" t="s">
        <v>55</v>
      </c>
      <c r="Z360" s="2" t="s">
        <v>55</v>
      </c>
      <c r="AA360" s="2"/>
      <c r="AB360" s="2">
        <v>20</v>
      </c>
      <c r="AC360" s="2" t="s">
        <v>57</v>
      </c>
      <c r="AD360" s="2">
        <v>0</v>
      </c>
    </row>
    <row r="361" spans="1:30" ht="30" x14ac:dyDescent="0.25">
      <c r="A361" s="2">
        <v>12</v>
      </c>
      <c r="B361" s="2" t="s">
        <v>49</v>
      </c>
      <c r="C361" s="2">
        <v>475</v>
      </c>
      <c r="D361" s="3">
        <v>43285</v>
      </c>
      <c r="E361" s="2" t="s">
        <v>1489</v>
      </c>
      <c r="F361" s="2"/>
      <c r="G361" s="2" t="s">
        <v>1490</v>
      </c>
      <c r="H361" s="2" t="s">
        <v>1123</v>
      </c>
      <c r="I361" s="2" t="s">
        <v>51</v>
      </c>
      <c r="J361" s="3">
        <v>39318</v>
      </c>
      <c r="K361" s="2">
        <v>1212</v>
      </c>
      <c r="L361" s="2">
        <v>2904826</v>
      </c>
      <c r="M361" s="2">
        <v>158</v>
      </c>
      <c r="N361" s="2">
        <v>149</v>
      </c>
      <c r="O361" s="2" t="s">
        <v>6</v>
      </c>
      <c r="P361" s="2" t="s">
        <v>52</v>
      </c>
      <c r="Q361" s="2"/>
      <c r="R361" s="2" t="s">
        <v>53</v>
      </c>
      <c r="S361" s="2">
        <v>8210302201</v>
      </c>
      <c r="T361" s="2" t="s">
        <v>584</v>
      </c>
      <c r="U361" s="2"/>
      <c r="V361" s="2">
        <v>9116409550</v>
      </c>
      <c r="W361" s="2" t="s">
        <v>1491</v>
      </c>
      <c r="X361" s="2">
        <v>60000</v>
      </c>
      <c r="Y361" s="2" t="s">
        <v>55</v>
      </c>
      <c r="Z361" s="2" t="s">
        <v>55</v>
      </c>
      <c r="AA361" s="2" t="s">
        <v>56</v>
      </c>
      <c r="AB361" s="2">
        <v>18</v>
      </c>
      <c r="AC361" s="2" t="s">
        <v>57</v>
      </c>
      <c r="AD361" s="2">
        <v>3</v>
      </c>
    </row>
    <row r="362" spans="1:30" ht="30" x14ac:dyDescent="0.25">
      <c r="A362" s="2">
        <v>12</v>
      </c>
      <c r="B362" s="2" t="s">
        <v>49</v>
      </c>
      <c r="C362" s="2">
        <v>474</v>
      </c>
      <c r="D362" s="3">
        <v>43285</v>
      </c>
      <c r="E362" s="2" t="s">
        <v>647</v>
      </c>
      <c r="F362" s="2"/>
      <c r="G362" s="2" t="s">
        <v>1492</v>
      </c>
      <c r="H362" s="2" t="s">
        <v>1493</v>
      </c>
      <c r="I362" s="2" t="s">
        <v>51</v>
      </c>
      <c r="J362" s="3">
        <v>39678</v>
      </c>
      <c r="K362" s="2">
        <v>1213</v>
      </c>
      <c r="L362" s="2">
        <v>2904827</v>
      </c>
      <c r="M362" s="2">
        <v>158</v>
      </c>
      <c r="N362" s="2">
        <v>158</v>
      </c>
      <c r="O362" s="2" t="s">
        <v>6</v>
      </c>
      <c r="P362" s="2" t="s">
        <v>52</v>
      </c>
      <c r="Q362" s="2"/>
      <c r="R362" s="2" t="s">
        <v>53</v>
      </c>
      <c r="S362" s="2">
        <v>8210302201</v>
      </c>
      <c r="T362" s="2" t="s">
        <v>1494</v>
      </c>
      <c r="U362" s="2" t="s">
        <v>1495</v>
      </c>
      <c r="V362" s="2">
        <v>8769436565</v>
      </c>
      <c r="W362" s="2" t="s">
        <v>1491</v>
      </c>
      <c r="X362" s="2">
        <v>60000</v>
      </c>
      <c r="Y362" s="2" t="s">
        <v>55</v>
      </c>
      <c r="Z362" s="2" t="s">
        <v>55</v>
      </c>
      <c r="AA362" s="2" t="s">
        <v>56</v>
      </c>
      <c r="AB362" s="2">
        <v>17</v>
      </c>
      <c r="AC362" s="2" t="s">
        <v>57</v>
      </c>
      <c r="AD362" s="2">
        <v>3</v>
      </c>
    </row>
    <row r="363" spans="1:30" ht="45" x14ac:dyDescent="0.25">
      <c r="A363" s="2">
        <v>12</v>
      </c>
      <c r="B363" s="2" t="s">
        <v>49</v>
      </c>
      <c r="C363" s="2">
        <v>549</v>
      </c>
      <c r="D363" s="3">
        <v>43649</v>
      </c>
      <c r="E363" s="2" t="s">
        <v>1496</v>
      </c>
      <c r="F363" s="2"/>
      <c r="G363" s="2" t="s">
        <v>1114</v>
      </c>
      <c r="H363" s="2" t="s">
        <v>512</v>
      </c>
      <c r="I363" s="2" t="s">
        <v>51</v>
      </c>
      <c r="J363" s="3">
        <v>39235</v>
      </c>
      <c r="K363" s="2">
        <v>1214</v>
      </c>
      <c r="L363" s="2">
        <v>2904828</v>
      </c>
      <c r="M363" s="2">
        <v>158</v>
      </c>
      <c r="N363" s="2">
        <v>144</v>
      </c>
      <c r="O363" s="2" t="s">
        <v>6</v>
      </c>
      <c r="P363" s="2" t="s">
        <v>52</v>
      </c>
      <c r="Q363" s="2"/>
      <c r="R363" s="2" t="s">
        <v>53</v>
      </c>
      <c r="S363" s="2">
        <v>8210302201</v>
      </c>
      <c r="T363" s="2" t="s">
        <v>1497</v>
      </c>
      <c r="U363" s="2" t="s">
        <v>1498</v>
      </c>
      <c r="V363" s="2">
        <v>7878612040</v>
      </c>
      <c r="W363" s="2" t="s">
        <v>1499</v>
      </c>
      <c r="X363" s="2">
        <v>40000</v>
      </c>
      <c r="Y363" s="2" t="s">
        <v>55</v>
      </c>
      <c r="Z363" s="2" t="s">
        <v>55</v>
      </c>
      <c r="AA363" s="2" t="s">
        <v>56</v>
      </c>
      <c r="AB363" s="2">
        <v>18</v>
      </c>
      <c r="AC363" s="2" t="s">
        <v>57</v>
      </c>
      <c r="AD363" s="2">
        <v>0</v>
      </c>
    </row>
    <row r="364" spans="1:30" ht="30" x14ac:dyDescent="0.25">
      <c r="A364" s="2">
        <v>12</v>
      </c>
      <c r="B364" s="2" t="s">
        <v>49</v>
      </c>
      <c r="C364" s="2">
        <v>233</v>
      </c>
      <c r="D364" s="2"/>
      <c r="E364" s="2" t="s">
        <v>1503</v>
      </c>
      <c r="F364" s="2"/>
      <c r="G364" s="2" t="s">
        <v>1504</v>
      </c>
      <c r="H364" s="2" t="s">
        <v>1505</v>
      </c>
      <c r="I364" s="2" t="s">
        <v>51</v>
      </c>
      <c r="J364" s="3">
        <v>39288</v>
      </c>
      <c r="K364" s="2">
        <v>1215</v>
      </c>
      <c r="L364" s="2">
        <v>2904829</v>
      </c>
      <c r="M364" s="2">
        <v>158</v>
      </c>
      <c r="N364" s="2">
        <v>151</v>
      </c>
      <c r="O364" s="2" t="s">
        <v>6</v>
      </c>
      <c r="P364" s="2" t="s">
        <v>52</v>
      </c>
      <c r="Q364" s="2"/>
      <c r="R364" s="2" t="s">
        <v>53</v>
      </c>
      <c r="S364" s="2">
        <v>8210302201</v>
      </c>
      <c r="T364" s="2" t="s">
        <v>1506</v>
      </c>
      <c r="U364" s="2" t="s">
        <v>1507</v>
      </c>
      <c r="V364" s="2">
        <v>9799335643</v>
      </c>
      <c r="W364" s="2" t="s">
        <v>956</v>
      </c>
      <c r="X364" s="2">
        <v>36000</v>
      </c>
      <c r="Y364" s="2" t="s">
        <v>55</v>
      </c>
      <c r="Z364" s="2" t="s">
        <v>55</v>
      </c>
      <c r="AA364" s="2" t="s">
        <v>56</v>
      </c>
      <c r="AB364" s="2">
        <v>18</v>
      </c>
      <c r="AC364" s="2" t="s">
        <v>57</v>
      </c>
      <c r="AD364" s="2">
        <v>0</v>
      </c>
    </row>
    <row r="365" spans="1:30" ht="30" x14ac:dyDescent="0.25">
      <c r="A365" s="2">
        <v>12</v>
      </c>
      <c r="B365" s="2" t="s">
        <v>49</v>
      </c>
      <c r="C365" s="2">
        <v>472</v>
      </c>
      <c r="D365" s="3">
        <v>43285</v>
      </c>
      <c r="E365" s="2" t="s">
        <v>1508</v>
      </c>
      <c r="F365" s="2"/>
      <c r="G365" s="2" t="s">
        <v>708</v>
      </c>
      <c r="H365" s="2" t="s">
        <v>512</v>
      </c>
      <c r="I365" s="2" t="s">
        <v>51</v>
      </c>
      <c r="J365" s="3">
        <v>39018</v>
      </c>
      <c r="K365" s="2">
        <v>1216</v>
      </c>
      <c r="L365" s="2">
        <v>2904830</v>
      </c>
      <c r="M365" s="2">
        <v>158</v>
      </c>
      <c r="N365" s="2">
        <v>157</v>
      </c>
      <c r="O365" s="2" t="s">
        <v>6</v>
      </c>
      <c r="P365" s="2" t="s">
        <v>52</v>
      </c>
      <c r="Q365" s="2"/>
      <c r="R365" s="2" t="s">
        <v>53</v>
      </c>
      <c r="S365" s="2">
        <v>8210302201</v>
      </c>
      <c r="T365" s="2" t="s">
        <v>1509</v>
      </c>
      <c r="U365" s="2"/>
      <c r="V365" s="2">
        <v>9001638385</v>
      </c>
      <c r="W365" s="2" t="s">
        <v>1491</v>
      </c>
      <c r="X365" s="2">
        <v>50000</v>
      </c>
      <c r="Y365" s="2" t="s">
        <v>55</v>
      </c>
      <c r="Z365" s="2" t="s">
        <v>55</v>
      </c>
      <c r="AA365" s="2" t="s">
        <v>56</v>
      </c>
      <c r="AB365" s="2">
        <v>19</v>
      </c>
      <c r="AC365" s="2" t="s">
        <v>57</v>
      </c>
      <c r="AD365" s="2">
        <v>3</v>
      </c>
    </row>
    <row r="366" spans="1:30" ht="30" x14ac:dyDescent="0.25">
      <c r="A366" s="2">
        <v>12</v>
      </c>
      <c r="B366" s="2" t="s">
        <v>49</v>
      </c>
      <c r="C366" s="2">
        <v>471</v>
      </c>
      <c r="D366" s="3">
        <v>43285</v>
      </c>
      <c r="E366" s="2" t="s">
        <v>1508</v>
      </c>
      <c r="F366" s="2"/>
      <c r="G366" s="2" t="s">
        <v>1510</v>
      </c>
      <c r="H366" s="2" t="s">
        <v>1511</v>
      </c>
      <c r="I366" s="2" t="s">
        <v>51</v>
      </c>
      <c r="J366" s="3">
        <v>39127</v>
      </c>
      <c r="K366" s="2">
        <v>1217</v>
      </c>
      <c r="L366" s="2">
        <v>2904831</v>
      </c>
      <c r="M366" s="2">
        <v>158</v>
      </c>
      <c r="N366" s="2">
        <v>153</v>
      </c>
      <c r="O366" s="2" t="s">
        <v>6</v>
      </c>
      <c r="P366" s="2" t="s">
        <v>52</v>
      </c>
      <c r="Q366" s="2"/>
      <c r="R366" s="2" t="s">
        <v>53</v>
      </c>
      <c r="S366" s="2">
        <v>8210302201</v>
      </c>
      <c r="T366" s="2" t="s">
        <v>1512</v>
      </c>
      <c r="U366" s="2" t="s">
        <v>1513</v>
      </c>
      <c r="V366" s="2">
        <v>9001274533</v>
      </c>
      <c r="W366" s="2" t="s">
        <v>1491</v>
      </c>
      <c r="X366" s="2">
        <v>60000</v>
      </c>
      <c r="Y366" s="2" t="s">
        <v>55</v>
      </c>
      <c r="Z366" s="2" t="s">
        <v>55</v>
      </c>
      <c r="AA366" s="2" t="s">
        <v>56</v>
      </c>
      <c r="AB366" s="2">
        <v>18</v>
      </c>
      <c r="AC366" s="2" t="s">
        <v>57</v>
      </c>
      <c r="AD366" s="2">
        <v>3</v>
      </c>
    </row>
    <row r="367" spans="1:30" ht="30" x14ac:dyDescent="0.25">
      <c r="A367" s="2">
        <v>12</v>
      </c>
      <c r="B367" s="2" t="s">
        <v>49</v>
      </c>
      <c r="C367" s="2">
        <v>668</v>
      </c>
      <c r="D367" s="3">
        <v>44254</v>
      </c>
      <c r="E367" s="2" t="s">
        <v>1514</v>
      </c>
      <c r="F367" s="2"/>
      <c r="G367" s="2" t="s">
        <v>1515</v>
      </c>
      <c r="H367" s="2" t="s">
        <v>1516</v>
      </c>
      <c r="I367" s="2" t="s">
        <v>51</v>
      </c>
      <c r="J367" s="3">
        <v>39266</v>
      </c>
      <c r="K367" s="2">
        <v>1218</v>
      </c>
      <c r="L367" s="2">
        <v>2904832</v>
      </c>
      <c r="M367" s="2">
        <v>158</v>
      </c>
      <c r="N367" s="2">
        <v>143</v>
      </c>
      <c r="O367" s="2" t="s">
        <v>6</v>
      </c>
      <c r="P367" s="2" t="s">
        <v>52</v>
      </c>
      <c r="Q367" s="2"/>
      <c r="R367" s="2" t="s">
        <v>53</v>
      </c>
      <c r="S367" s="2">
        <v>8210302201</v>
      </c>
      <c r="T367" s="2" t="s">
        <v>1517</v>
      </c>
      <c r="U367" s="2"/>
      <c r="V367" s="2">
        <v>9636683043</v>
      </c>
      <c r="W367" s="2" t="s">
        <v>1518</v>
      </c>
      <c r="X367" s="2">
        <v>60000</v>
      </c>
      <c r="Y367" s="2" t="s">
        <v>55</v>
      </c>
      <c r="Z367" s="2" t="s">
        <v>55</v>
      </c>
      <c r="AA367" s="2" t="s">
        <v>56</v>
      </c>
      <c r="AB367" s="2">
        <v>18</v>
      </c>
      <c r="AC367" s="2" t="s">
        <v>57</v>
      </c>
      <c r="AD367" s="2">
        <v>3</v>
      </c>
    </row>
    <row r="368" spans="1:30" x14ac:dyDescent="0.25">
      <c r="A368" s="70"/>
    </row>
    <row r="369" spans="1:1" x14ac:dyDescent="0.25">
      <c r="A369" s="70"/>
    </row>
    <row r="370" spans="1:1" x14ac:dyDescent="0.25">
      <c r="A370" s="70"/>
    </row>
    <row r="371" spans="1:1" x14ac:dyDescent="0.25">
      <c r="A371" s="70"/>
    </row>
    <row r="372" spans="1:1" x14ac:dyDescent="0.25">
      <c r="A372" s="70"/>
    </row>
    <row r="373" spans="1:1" x14ac:dyDescent="0.25">
      <c r="A373" s="70"/>
    </row>
    <row r="374" spans="1:1" x14ac:dyDescent="0.25">
      <c r="A374" s="70"/>
    </row>
    <row r="375" spans="1:1" x14ac:dyDescent="0.25">
      <c r="A375" s="70"/>
    </row>
    <row r="376" spans="1:1" x14ac:dyDescent="0.25">
      <c r="A376" s="70"/>
    </row>
    <row r="377" spans="1:1" x14ac:dyDescent="0.25">
      <c r="A377" s="70"/>
    </row>
    <row r="378" spans="1:1" x14ac:dyDescent="0.25">
      <c r="A378" s="70"/>
    </row>
    <row r="379" spans="1:1" x14ac:dyDescent="0.25">
      <c r="A379" s="70"/>
    </row>
    <row r="380" spans="1:1" x14ac:dyDescent="0.25">
      <c r="A380" s="70"/>
    </row>
    <row r="381" spans="1:1" x14ac:dyDescent="0.25">
      <c r="A381" s="70"/>
    </row>
    <row r="382" spans="1:1" x14ac:dyDescent="0.25">
      <c r="A382" s="70"/>
    </row>
    <row r="383" spans="1:1" x14ac:dyDescent="0.25">
      <c r="A383" s="70"/>
    </row>
    <row r="384" spans="1:1" x14ac:dyDescent="0.25">
      <c r="A384" s="70"/>
    </row>
    <row r="385" spans="1:1" x14ac:dyDescent="0.25">
      <c r="A385" s="70"/>
    </row>
    <row r="386" spans="1:1" x14ac:dyDescent="0.25">
      <c r="A386" s="70"/>
    </row>
    <row r="387" spans="1:1" x14ac:dyDescent="0.25">
      <c r="A387" s="70"/>
    </row>
    <row r="388" spans="1:1" x14ac:dyDescent="0.25">
      <c r="A388" s="70"/>
    </row>
    <row r="389" spans="1:1" x14ac:dyDescent="0.25">
      <c r="A389" s="70"/>
    </row>
    <row r="390" spans="1:1" x14ac:dyDescent="0.25">
      <c r="A390" s="70"/>
    </row>
    <row r="391" spans="1:1" x14ac:dyDescent="0.25">
      <c r="A391" s="70"/>
    </row>
    <row r="392" spans="1:1" x14ac:dyDescent="0.25">
      <c r="A392" s="70"/>
    </row>
    <row r="393" spans="1:1" x14ac:dyDescent="0.25">
      <c r="A393" s="70"/>
    </row>
    <row r="394" spans="1:1" x14ac:dyDescent="0.25">
      <c r="A394" s="70"/>
    </row>
    <row r="395" spans="1:1" x14ac:dyDescent="0.25">
      <c r="A395" s="70"/>
    </row>
    <row r="396" spans="1:1" x14ac:dyDescent="0.25">
      <c r="A396" s="70"/>
    </row>
    <row r="397" spans="1:1" x14ac:dyDescent="0.25">
      <c r="A397" s="70"/>
    </row>
    <row r="398" spans="1:1" x14ac:dyDescent="0.25">
      <c r="A398" s="70"/>
    </row>
    <row r="399" spans="1:1" x14ac:dyDescent="0.25">
      <c r="A399" s="70"/>
    </row>
    <row r="400" spans="1:1" x14ac:dyDescent="0.25">
      <c r="A400" s="70"/>
    </row>
    <row r="401" spans="1:1" x14ac:dyDescent="0.25">
      <c r="A401" s="70"/>
    </row>
    <row r="402" spans="1:1" x14ac:dyDescent="0.25">
      <c r="A402" s="70"/>
    </row>
    <row r="403" spans="1:1" x14ac:dyDescent="0.25">
      <c r="A403" s="70"/>
    </row>
    <row r="404" spans="1:1" x14ac:dyDescent="0.25">
      <c r="A404" s="70"/>
    </row>
    <row r="405" spans="1:1" x14ac:dyDescent="0.25">
      <c r="A405" s="70"/>
    </row>
    <row r="406" spans="1:1" x14ac:dyDescent="0.25">
      <c r="A406" s="70"/>
    </row>
    <row r="407" spans="1:1" x14ac:dyDescent="0.25">
      <c r="A407" s="70"/>
    </row>
    <row r="408" spans="1:1" x14ac:dyDescent="0.25">
      <c r="A408" s="70"/>
    </row>
    <row r="409" spans="1:1" x14ac:dyDescent="0.25">
      <c r="A409" s="70"/>
    </row>
    <row r="410" spans="1:1" x14ac:dyDescent="0.25">
      <c r="A410" s="70"/>
    </row>
    <row r="411" spans="1:1" x14ac:dyDescent="0.25">
      <c r="A411" s="70"/>
    </row>
    <row r="412" spans="1:1" x14ac:dyDescent="0.25">
      <c r="A412" s="70"/>
    </row>
    <row r="413" spans="1:1" x14ac:dyDescent="0.25">
      <c r="A413" s="70"/>
    </row>
    <row r="414" spans="1:1" x14ac:dyDescent="0.25">
      <c r="A414" s="70"/>
    </row>
    <row r="415" spans="1:1" x14ac:dyDescent="0.25">
      <c r="A415" s="70"/>
    </row>
    <row r="416" spans="1:1" x14ac:dyDescent="0.25">
      <c r="A416" s="70"/>
    </row>
    <row r="417" spans="1:1" x14ac:dyDescent="0.25">
      <c r="A417" s="70"/>
    </row>
    <row r="418" spans="1:1" x14ac:dyDescent="0.25">
      <c r="A418" s="70"/>
    </row>
    <row r="419" spans="1:1" x14ac:dyDescent="0.25">
      <c r="A419" s="70"/>
    </row>
    <row r="420" spans="1:1" x14ac:dyDescent="0.25">
      <c r="A420" s="70"/>
    </row>
    <row r="421" spans="1:1" x14ac:dyDescent="0.25">
      <c r="A421" s="70"/>
    </row>
    <row r="422" spans="1:1" x14ac:dyDescent="0.25">
      <c r="A422" s="70"/>
    </row>
    <row r="423" spans="1:1" x14ac:dyDescent="0.25">
      <c r="A423" s="70"/>
    </row>
    <row r="424" spans="1:1" x14ac:dyDescent="0.25">
      <c r="A424" s="70"/>
    </row>
    <row r="425" spans="1:1" x14ac:dyDescent="0.25">
      <c r="A425" s="70"/>
    </row>
    <row r="426" spans="1:1" x14ac:dyDescent="0.25">
      <c r="A426" s="70"/>
    </row>
    <row r="427" spans="1:1" x14ac:dyDescent="0.25">
      <c r="A427" s="70"/>
    </row>
    <row r="428" spans="1:1" x14ac:dyDescent="0.25">
      <c r="A428" s="70"/>
    </row>
    <row r="429" spans="1:1" x14ac:dyDescent="0.25">
      <c r="A429" s="70"/>
    </row>
    <row r="430" spans="1:1" x14ac:dyDescent="0.25">
      <c r="A430" s="70"/>
    </row>
    <row r="431" spans="1:1" x14ac:dyDescent="0.25">
      <c r="A431" s="70"/>
    </row>
    <row r="432" spans="1:1" x14ac:dyDescent="0.25">
      <c r="A432" s="70"/>
    </row>
    <row r="433" spans="1:1" x14ac:dyDescent="0.25">
      <c r="A433" s="70"/>
    </row>
    <row r="434" spans="1:1" x14ac:dyDescent="0.25">
      <c r="A434" s="70"/>
    </row>
    <row r="435" spans="1:1" x14ac:dyDescent="0.25">
      <c r="A435" s="70"/>
    </row>
    <row r="436" spans="1:1" x14ac:dyDescent="0.25">
      <c r="A436" s="70"/>
    </row>
    <row r="437" spans="1:1" x14ac:dyDescent="0.25">
      <c r="A437" s="70"/>
    </row>
    <row r="438" spans="1:1" x14ac:dyDescent="0.25">
      <c r="A438" s="70"/>
    </row>
    <row r="439" spans="1:1" x14ac:dyDescent="0.25">
      <c r="A439" s="70"/>
    </row>
    <row r="440" spans="1:1" x14ac:dyDescent="0.25">
      <c r="A440" s="70"/>
    </row>
    <row r="441" spans="1:1" x14ac:dyDescent="0.25">
      <c r="A441" s="70"/>
    </row>
    <row r="442" spans="1:1" x14ac:dyDescent="0.25">
      <c r="A442" s="70"/>
    </row>
    <row r="443" spans="1:1" x14ac:dyDescent="0.25">
      <c r="A443" s="70"/>
    </row>
    <row r="444" spans="1:1" x14ac:dyDescent="0.25">
      <c r="A444" s="70"/>
    </row>
    <row r="445" spans="1:1" x14ac:dyDescent="0.25">
      <c r="A445" s="70"/>
    </row>
    <row r="446" spans="1:1" x14ac:dyDescent="0.25">
      <c r="A446" s="70"/>
    </row>
    <row r="447" spans="1:1" x14ac:dyDescent="0.25">
      <c r="A447" s="70"/>
    </row>
    <row r="448" spans="1:1" x14ac:dyDescent="0.25">
      <c r="A448" s="70"/>
    </row>
    <row r="449" spans="1:1" x14ac:dyDescent="0.25">
      <c r="A449" s="70"/>
    </row>
    <row r="450" spans="1:1" x14ac:dyDescent="0.25">
      <c r="A450" s="70"/>
    </row>
    <row r="451" spans="1:1" x14ac:dyDescent="0.25">
      <c r="A451" s="70"/>
    </row>
    <row r="452" spans="1:1" x14ac:dyDescent="0.25">
      <c r="A452" s="70"/>
    </row>
    <row r="453" spans="1:1" x14ac:dyDescent="0.25">
      <c r="A453" s="70"/>
    </row>
    <row r="454" spans="1:1" x14ac:dyDescent="0.25">
      <c r="A454" s="70"/>
    </row>
    <row r="455" spans="1:1" x14ac:dyDescent="0.25">
      <c r="A455" s="70"/>
    </row>
    <row r="456" spans="1:1" x14ac:dyDescent="0.25">
      <c r="A456" s="70"/>
    </row>
    <row r="457" spans="1:1" x14ac:dyDescent="0.25">
      <c r="A457" s="70"/>
    </row>
    <row r="458" spans="1:1" x14ac:dyDescent="0.25">
      <c r="A458" s="70"/>
    </row>
    <row r="459" spans="1:1" x14ac:dyDescent="0.25">
      <c r="A459" s="70"/>
    </row>
    <row r="460" spans="1:1" x14ac:dyDescent="0.25">
      <c r="A460" s="70"/>
    </row>
    <row r="461" spans="1:1" x14ac:dyDescent="0.25">
      <c r="A461" s="70"/>
    </row>
    <row r="462" spans="1:1" x14ac:dyDescent="0.25">
      <c r="A462" s="70"/>
    </row>
    <row r="463" spans="1:1" x14ac:dyDescent="0.25">
      <c r="A463" s="70"/>
    </row>
    <row r="464" spans="1:1" x14ac:dyDescent="0.25">
      <c r="A464" s="70"/>
    </row>
    <row r="465" spans="1:1" x14ac:dyDescent="0.25">
      <c r="A465" s="70"/>
    </row>
    <row r="466" spans="1:1" x14ac:dyDescent="0.25">
      <c r="A466" s="70"/>
    </row>
    <row r="467" spans="1:1" x14ac:dyDescent="0.25">
      <c r="A467" s="70"/>
    </row>
    <row r="468" spans="1:1" x14ac:dyDescent="0.25">
      <c r="A468" s="70"/>
    </row>
    <row r="469" spans="1:1" x14ac:dyDescent="0.25">
      <c r="A469" s="70"/>
    </row>
    <row r="470" spans="1:1" x14ac:dyDescent="0.25">
      <c r="A470" s="70"/>
    </row>
    <row r="471" spans="1:1" x14ac:dyDescent="0.25">
      <c r="A471" s="70"/>
    </row>
    <row r="472" spans="1:1" x14ac:dyDescent="0.25">
      <c r="A472" s="70"/>
    </row>
    <row r="473" spans="1:1" x14ac:dyDescent="0.25">
      <c r="A473" s="70"/>
    </row>
    <row r="474" spans="1:1" x14ac:dyDescent="0.25">
      <c r="A474" s="70"/>
    </row>
    <row r="475" spans="1:1" x14ac:dyDescent="0.25">
      <c r="A475" s="70"/>
    </row>
    <row r="476" spans="1:1" x14ac:dyDescent="0.25">
      <c r="A476" s="70"/>
    </row>
    <row r="477" spans="1:1" x14ac:dyDescent="0.25">
      <c r="A477" s="70"/>
    </row>
    <row r="478" spans="1:1" x14ac:dyDescent="0.25">
      <c r="A478" s="70"/>
    </row>
    <row r="479" spans="1:1" x14ac:dyDescent="0.25">
      <c r="A479" s="70"/>
    </row>
    <row r="480" spans="1:1" x14ac:dyDescent="0.25">
      <c r="A480" s="70"/>
    </row>
    <row r="481" spans="1:1" x14ac:dyDescent="0.25">
      <c r="A481" s="70"/>
    </row>
    <row r="482" spans="1:1" x14ac:dyDescent="0.25">
      <c r="A482" s="70"/>
    </row>
    <row r="483" spans="1:1" x14ac:dyDescent="0.25">
      <c r="A483" s="70"/>
    </row>
    <row r="484" spans="1:1" x14ac:dyDescent="0.25">
      <c r="A484" s="70"/>
    </row>
    <row r="485" spans="1:1" x14ac:dyDescent="0.25">
      <c r="A485" s="70"/>
    </row>
    <row r="486" spans="1:1" x14ac:dyDescent="0.25">
      <c r="A486" s="70"/>
    </row>
    <row r="487" spans="1:1" x14ac:dyDescent="0.25">
      <c r="A487" s="70"/>
    </row>
    <row r="488" spans="1:1" x14ac:dyDescent="0.25">
      <c r="A488" s="70"/>
    </row>
    <row r="489" spans="1:1" x14ac:dyDescent="0.25">
      <c r="A489" s="70"/>
    </row>
    <row r="490" spans="1:1" x14ac:dyDescent="0.25">
      <c r="A490" s="70"/>
    </row>
    <row r="491" spans="1:1" x14ac:dyDescent="0.25">
      <c r="A491" s="70"/>
    </row>
    <row r="492" spans="1:1" x14ac:dyDescent="0.25">
      <c r="A492" s="70"/>
    </row>
    <row r="493" spans="1:1" x14ac:dyDescent="0.25">
      <c r="A493" s="70"/>
    </row>
    <row r="494" spans="1:1" x14ac:dyDescent="0.25">
      <c r="A494" s="70"/>
    </row>
    <row r="495" spans="1:1" x14ac:dyDescent="0.25">
      <c r="A495" s="70"/>
    </row>
    <row r="496" spans="1:1" x14ac:dyDescent="0.25">
      <c r="A496" s="70"/>
    </row>
    <row r="497" spans="1:1" x14ac:dyDescent="0.25">
      <c r="A497" s="70"/>
    </row>
    <row r="498" spans="1:1" x14ac:dyDescent="0.25">
      <c r="A498" s="70"/>
    </row>
    <row r="499" spans="1:1" x14ac:dyDescent="0.25">
      <c r="A499" s="70"/>
    </row>
    <row r="500" spans="1:1" x14ac:dyDescent="0.25">
      <c r="A500" s="70"/>
    </row>
    <row r="501" spans="1:1" x14ac:dyDescent="0.25">
      <c r="A501" s="70"/>
    </row>
    <row r="502" spans="1:1" x14ac:dyDescent="0.25">
      <c r="A502" s="70"/>
    </row>
    <row r="503" spans="1:1" x14ac:dyDescent="0.25">
      <c r="A503" s="70"/>
    </row>
    <row r="504" spans="1:1" x14ac:dyDescent="0.25">
      <c r="A504" s="70"/>
    </row>
    <row r="505" spans="1:1" x14ac:dyDescent="0.25">
      <c r="A505" s="70"/>
    </row>
    <row r="506" spans="1:1" x14ac:dyDescent="0.25">
      <c r="A506" s="70"/>
    </row>
    <row r="507" spans="1:1" x14ac:dyDescent="0.25">
      <c r="A507" s="70"/>
    </row>
    <row r="508" spans="1:1" x14ac:dyDescent="0.25">
      <c r="A508" s="70"/>
    </row>
    <row r="509" spans="1:1" x14ac:dyDescent="0.25">
      <c r="A509" s="70"/>
    </row>
    <row r="510" spans="1:1" x14ac:dyDescent="0.25">
      <c r="A510" s="70"/>
    </row>
    <row r="511" spans="1:1" x14ac:dyDescent="0.25">
      <c r="A511" s="70"/>
    </row>
    <row r="512" spans="1:1" x14ac:dyDescent="0.25">
      <c r="A512" s="70"/>
    </row>
    <row r="513" spans="1:1" x14ac:dyDescent="0.25">
      <c r="A513" s="70"/>
    </row>
    <row r="514" spans="1:1" x14ac:dyDescent="0.25">
      <c r="A514" s="70"/>
    </row>
    <row r="515" spans="1:1" x14ac:dyDescent="0.25">
      <c r="A515" s="70"/>
    </row>
    <row r="516" spans="1:1" x14ac:dyDescent="0.25">
      <c r="A516" s="70"/>
    </row>
    <row r="517" spans="1:1" x14ac:dyDescent="0.25">
      <c r="A517" s="70"/>
    </row>
    <row r="518" spans="1:1" x14ac:dyDescent="0.25">
      <c r="A518" s="70"/>
    </row>
    <row r="519" spans="1:1" x14ac:dyDescent="0.25">
      <c r="A519" s="70"/>
    </row>
    <row r="520" spans="1:1" x14ac:dyDescent="0.25">
      <c r="A520" s="70"/>
    </row>
    <row r="521" spans="1:1" x14ac:dyDescent="0.25">
      <c r="A521" s="70"/>
    </row>
    <row r="522" spans="1:1" x14ac:dyDescent="0.25">
      <c r="A522" s="70"/>
    </row>
    <row r="523" spans="1:1" x14ac:dyDescent="0.25">
      <c r="A523" s="70"/>
    </row>
    <row r="524" spans="1:1" x14ac:dyDescent="0.25">
      <c r="A524" s="70"/>
    </row>
    <row r="525" spans="1:1" x14ac:dyDescent="0.25">
      <c r="A525" s="70"/>
    </row>
    <row r="526" spans="1:1" x14ac:dyDescent="0.25">
      <c r="A526" s="70"/>
    </row>
    <row r="527" spans="1:1" x14ac:dyDescent="0.25">
      <c r="A527" s="70"/>
    </row>
    <row r="528" spans="1:1" x14ac:dyDescent="0.25">
      <c r="A528" s="70"/>
    </row>
    <row r="529" spans="1:1" x14ac:dyDescent="0.25">
      <c r="A529" s="70"/>
    </row>
    <row r="530" spans="1:1" x14ac:dyDescent="0.25">
      <c r="A530" s="70"/>
    </row>
    <row r="531" spans="1:1" x14ac:dyDescent="0.25">
      <c r="A531" s="70"/>
    </row>
    <row r="532" spans="1:1" x14ac:dyDescent="0.25">
      <c r="A532" s="70"/>
    </row>
    <row r="533" spans="1:1" x14ac:dyDescent="0.25">
      <c r="A533" s="70"/>
    </row>
    <row r="534" spans="1:1" x14ac:dyDescent="0.25">
      <c r="A534" s="70"/>
    </row>
    <row r="535" spans="1:1" x14ac:dyDescent="0.25">
      <c r="A535" s="70"/>
    </row>
    <row r="536" spans="1:1" x14ac:dyDescent="0.25">
      <c r="A536" s="70"/>
    </row>
    <row r="537" spans="1:1" x14ac:dyDescent="0.25">
      <c r="A537" s="70"/>
    </row>
    <row r="538" spans="1:1" x14ac:dyDescent="0.25">
      <c r="A538" s="70"/>
    </row>
    <row r="539" spans="1:1" x14ac:dyDescent="0.25">
      <c r="A539" s="70"/>
    </row>
    <row r="540" spans="1:1" x14ac:dyDescent="0.25">
      <c r="A540" s="70"/>
    </row>
    <row r="541" spans="1:1" x14ac:dyDescent="0.25">
      <c r="A541" s="70"/>
    </row>
    <row r="542" spans="1:1" x14ac:dyDescent="0.25">
      <c r="A542" s="70"/>
    </row>
    <row r="543" spans="1:1" x14ac:dyDescent="0.25">
      <c r="A543" s="70"/>
    </row>
    <row r="544" spans="1:1" x14ac:dyDescent="0.25">
      <c r="A544" s="70"/>
    </row>
    <row r="545" spans="1:1" x14ac:dyDescent="0.25">
      <c r="A545" s="70"/>
    </row>
    <row r="546" spans="1:1" x14ac:dyDescent="0.25">
      <c r="A546" s="70"/>
    </row>
    <row r="547" spans="1:1" x14ac:dyDescent="0.25">
      <c r="A547" s="70"/>
    </row>
    <row r="548" spans="1:1" x14ac:dyDescent="0.25">
      <c r="A548" s="70"/>
    </row>
    <row r="549" spans="1:1" x14ac:dyDescent="0.25">
      <c r="A549" s="70"/>
    </row>
    <row r="550" spans="1:1" x14ac:dyDescent="0.25">
      <c r="A550" s="70"/>
    </row>
    <row r="551" spans="1:1" x14ac:dyDescent="0.25">
      <c r="A551" s="70"/>
    </row>
    <row r="552" spans="1:1" x14ac:dyDescent="0.25">
      <c r="A552" s="70"/>
    </row>
    <row r="553" spans="1:1" x14ac:dyDescent="0.25">
      <c r="A553" s="70"/>
    </row>
    <row r="554" spans="1:1" x14ac:dyDescent="0.25">
      <c r="A554" s="70"/>
    </row>
    <row r="555" spans="1:1" x14ac:dyDescent="0.25">
      <c r="A555" s="70"/>
    </row>
    <row r="556" spans="1:1" x14ac:dyDescent="0.25">
      <c r="A556" s="70"/>
    </row>
    <row r="557" spans="1:1" x14ac:dyDescent="0.25">
      <c r="A557" s="70"/>
    </row>
    <row r="558" spans="1:1" x14ac:dyDescent="0.25">
      <c r="A558" s="70"/>
    </row>
    <row r="559" spans="1:1" x14ac:dyDescent="0.25">
      <c r="A559" s="70"/>
    </row>
    <row r="560" spans="1:1" x14ac:dyDescent="0.25">
      <c r="A560" s="70"/>
    </row>
    <row r="561" spans="1:1" x14ac:dyDescent="0.25">
      <c r="A561" s="70"/>
    </row>
    <row r="562" spans="1:1" x14ac:dyDescent="0.25">
      <c r="A562" s="70"/>
    </row>
    <row r="563" spans="1:1" x14ac:dyDescent="0.25">
      <c r="A563" s="70"/>
    </row>
    <row r="564" spans="1:1" x14ac:dyDescent="0.25">
      <c r="A564" s="70"/>
    </row>
    <row r="565" spans="1:1" x14ac:dyDescent="0.25">
      <c r="A565" s="70"/>
    </row>
    <row r="566" spans="1:1" x14ac:dyDescent="0.25">
      <c r="A566" s="70"/>
    </row>
    <row r="567" spans="1:1" x14ac:dyDescent="0.25">
      <c r="A567" s="70"/>
    </row>
    <row r="568" spans="1:1" x14ac:dyDescent="0.25">
      <c r="A568" s="70"/>
    </row>
    <row r="569" spans="1:1" x14ac:dyDescent="0.25">
      <c r="A569" s="70"/>
    </row>
    <row r="570" spans="1:1" x14ac:dyDescent="0.25">
      <c r="A570" s="70"/>
    </row>
    <row r="571" spans="1:1" x14ac:dyDescent="0.25">
      <c r="A571" s="70"/>
    </row>
    <row r="572" spans="1:1" x14ac:dyDescent="0.25">
      <c r="A572" s="70"/>
    </row>
    <row r="573" spans="1:1" x14ac:dyDescent="0.25">
      <c r="A573" s="70"/>
    </row>
    <row r="574" spans="1:1" x14ac:dyDescent="0.25">
      <c r="A574" s="70"/>
    </row>
    <row r="575" spans="1:1" x14ac:dyDescent="0.25">
      <c r="A575" s="70"/>
    </row>
    <row r="576" spans="1:1" x14ac:dyDescent="0.25">
      <c r="A576" s="70"/>
    </row>
    <row r="577" spans="1:1" x14ac:dyDescent="0.25">
      <c r="A577" s="70"/>
    </row>
    <row r="578" spans="1:1" x14ac:dyDescent="0.25">
      <c r="A578" s="70"/>
    </row>
    <row r="579" spans="1:1" x14ac:dyDescent="0.25">
      <c r="A579" s="70"/>
    </row>
    <row r="580" spans="1:1" x14ac:dyDescent="0.25">
      <c r="A580" s="70"/>
    </row>
    <row r="581" spans="1:1" x14ac:dyDescent="0.25">
      <c r="A581" s="70"/>
    </row>
    <row r="582" spans="1:1" x14ac:dyDescent="0.25">
      <c r="A582" s="70"/>
    </row>
    <row r="583" spans="1:1" x14ac:dyDescent="0.25">
      <c r="A583" s="70"/>
    </row>
    <row r="584" spans="1:1" x14ac:dyDescent="0.25">
      <c r="A584" s="70"/>
    </row>
    <row r="585" spans="1:1" x14ac:dyDescent="0.25">
      <c r="A585" s="70"/>
    </row>
    <row r="586" spans="1:1" x14ac:dyDescent="0.25">
      <c r="A586" s="70"/>
    </row>
    <row r="587" spans="1:1" x14ac:dyDescent="0.25">
      <c r="A587" s="70"/>
    </row>
    <row r="588" spans="1:1" x14ac:dyDescent="0.25">
      <c r="A588" s="70"/>
    </row>
    <row r="589" spans="1:1" x14ac:dyDescent="0.25">
      <c r="A589" s="70"/>
    </row>
    <row r="590" spans="1:1" x14ac:dyDescent="0.25">
      <c r="A590" s="70"/>
    </row>
    <row r="591" spans="1:1" x14ac:dyDescent="0.25">
      <c r="A591" s="70"/>
    </row>
    <row r="592" spans="1:1" x14ac:dyDescent="0.25">
      <c r="A592" s="70"/>
    </row>
    <row r="593" spans="1:1" x14ac:dyDescent="0.25">
      <c r="A593" s="70"/>
    </row>
    <row r="594" spans="1:1" x14ac:dyDescent="0.25">
      <c r="A594" s="70"/>
    </row>
    <row r="595" spans="1:1" x14ac:dyDescent="0.25">
      <c r="A595" s="70"/>
    </row>
    <row r="596" spans="1:1" x14ac:dyDescent="0.25">
      <c r="A596" s="70"/>
    </row>
    <row r="597" spans="1:1" x14ac:dyDescent="0.25">
      <c r="A597" s="70"/>
    </row>
    <row r="598" spans="1:1" x14ac:dyDescent="0.25">
      <c r="A598" s="70"/>
    </row>
    <row r="599" spans="1:1" x14ac:dyDescent="0.25">
      <c r="A599" s="70"/>
    </row>
    <row r="600" spans="1:1" x14ac:dyDescent="0.25">
      <c r="A600" s="70"/>
    </row>
    <row r="601" spans="1:1" x14ac:dyDescent="0.25">
      <c r="A601" s="70"/>
    </row>
    <row r="602" spans="1:1" x14ac:dyDescent="0.25">
      <c r="A602" s="70"/>
    </row>
    <row r="603" spans="1:1" x14ac:dyDescent="0.25">
      <c r="A603" s="70"/>
    </row>
    <row r="604" spans="1:1" x14ac:dyDescent="0.25">
      <c r="A604" s="70"/>
    </row>
    <row r="605" spans="1:1" x14ac:dyDescent="0.25">
      <c r="A605" s="70"/>
    </row>
    <row r="606" spans="1:1" x14ac:dyDescent="0.25">
      <c r="A606" s="70"/>
    </row>
    <row r="607" spans="1:1" x14ac:dyDescent="0.25">
      <c r="A607" s="70"/>
    </row>
    <row r="608" spans="1:1" x14ac:dyDescent="0.25">
      <c r="A608" s="70"/>
    </row>
    <row r="609" spans="1:1" x14ac:dyDescent="0.25">
      <c r="A609" s="70"/>
    </row>
    <row r="610" spans="1:1" x14ac:dyDescent="0.25">
      <c r="A610" s="70"/>
    </row>
    <row r="611" spans="1:1" x14ac:dyDescent="0.25">
      <c r="A611" s="70"/>
    </row>
    <row r="612" spans="1:1" x14ac:dyDescent="0.25">
      <c r="A612" s="70"/>
    </row>
    <row r="613" spans="1:1" x14ac:dyDescent="0.25">
      <c r="A613" s="70"/>
    </row>
    <row r="614" spans="1:1" x14ac:dyDescent="0.25">
      <c r="A614" s="70"/>
    </row>
    <row r="615" spans="1:1" x14ac:dyDescent="0.25">
      <c r="A615" s="70"/>
    </row>
    <row r="616" spans="1:1" x14ac:dyDescent="0.25">
      <c r="A616" s="70"/>
    </row>
    <row r="617" spans="1:1" x14ac:dyDescent="0.25">
      <c r="A617" s="70"/>
    </row>
    <row r="618" spans="1:1" x14ac:dyDescent="0.25">
      <c r="A618" s="70"/>
    </row>
    <row r="619" spans="1:1" x14ac:dyDescent="0.25">
      <c r="A619" s="70"/>
    </row>
    <row r="620" spans="1:1" x14ac:dyDescent="0.25">
      <c r="A620" s="70"/>
    </row>
    <row r="621" spans="1:1" x14ac:dyDescent="0.25">
      <c r="A621" s="70"/>
    </row>
    <row r="622" spans="1:1" x14ac:dyDescent="0.25">
      <c r="A622" s="70"/>
    </row>
    <row r="623" spans="1:1" x14ac:dyDescent="0.25">
      <c r="A623" s="70"/>
    </row>
    <row r="624" spans="1:1" x14ac:dyDescent="0.25">
      <c r="A624" s="70"/>
    </row>
    <row r="625" spans="1:1" x14ac:dyDescent="0.25">
      <c r="A625" s="70"/>
    </row>
    <row r="626" spans="1:1" x14ac:dyDescent="0.25">
      <c r="A626" s="70"/>
    </row>
    <row r="627" spans="1:1" x14ac:dyDescent="0.25">
      <c r="A627" s="70"/>
    </row>
    <row r="628" spans="1:1" x14ac:dyDescent="0.25">
      <c r="A628" s="70"/>
    </row>
    <row r="629" spans="1:1" x14ac:dyDescent="0.25">
      <c r="A629" s="70"/>
    </row>
    <row r="630" spans="1:1" x14ac:dyDescent="0.25">
      <c r="A630" s="70"/>
    </row>
    <row r="631" spans="1:1" x14ac:dyDescent="0.25">
      <c r="A631" s="70"/>
    </row>
    <row r="632" spans="1:1" x14ac:dyDescent="0.25">
      <c r="A632" s="70"/>
    </row>
    <row r="633" spans="1:1" x14ac:dyDescent="0.25">
      <c r="A633" s="70"/>
    </row>
    <row r="634" spans="1:1" x14ac:dyDescent="0.25">
      <c r="A634" s="70"/>
    </row>
    <row r="635" spans="1:1" x14ac:dyDescent="0.25">
      <c r="A635" s="70"/>
    </row>
    <row r="636" spans="1:1" x14ac:dyDescent="0.25">
      <c r="A636" s="70"/>
    </row>
    <row r="637" spans="1:1" x14ac:dyDescent="0.25">
      <c r="A637" s="70"/>
    </row>
    <row r="638" spans="1:1" x14ac:dyDescent="0.25">
      <c r="A638" s="70"/>
    </row>
    <row r="639" spans="1:1" x14ac:dyDescent="0.25">
      <c r="A639" s="70"/>
    </row>
    <row r="640" spans="1:1" x14ac:dyDescent="0.25">
      <c r="A640" s="70"/>
    </row>
    <row r="641" spans="1:1" x14ac:dyDescent="0.25">
      <c r="A641" s="70"/>
    </row>
    <row r="642" spans="1:1" x14ac:dyDescent="0.25">
      <c r="A642" s="70"/>
    </row>
    <row r="643" spans="1:1" x14ac:dyDescent="0.25">
      <c r="A643" s="70"/>
    </row>
    <row r="644" spans="1:1" x14ac:dyDescent="0.25">
      <c r="A644" s="70"/>
    </row>
    <row r="645" spans="1:1" x14ac:dyDescent="0.25">
      <c r="A645" s="70"/>
    </row>
    <row r="646" spans="1:1" x14ac:dyDescent="0.25">
      <c r="A646" s="70"/>
    </row>
    <row r="647" spans="1:1" x14ac:dyDescent="0.25">
      <c r="A647" s="70"/>
    </row>
    <row r="648" spans="1:1" x14ac:dyDescent="0.25">
      <c r="A648" s="70"/>
    </row>
    <row r="649" spans="1:1" x14ac:dyDescent="0.25">
      <c r="A649" s="70"/>
    </row>
    <row r="650" spans="1:1" x14ac:dyDescent="0.25">
      <c r="A650" s="70"/>
    </row>
    <row r="651" spans="1:1" x14ac:dyDescent="0.25">
      <c r="A651" s="70"/>
    </row>
    <row r="652" spans="1:1" x14ac:dyDescent="0.25">
      <c r="A652" s="70"/>
    </row>
    <row r="653" spans="1:1" x14ac:dyDescent="0.25">
      <c r="A653" s="70"/>
    </row>
    <row r="654" spans="1:1" x14ac:dyDescent="0.25">
      <c r="A654" s="70"/>
    </row>
    <row r="655" spans="1:1" x14ac:dyDescent="0.25">
      <c r="A655" s="70"/>
    </row>
    <row r="656" spans="1:1" x14ac:dyDescent="0.25">
      <c r="A656" s="70"/>
    </row>
    <row r="657" spans="1:1" x14ac:dyDescent="0.25">
      <c r="A657" s="70"/>
    </row>
    <row r="658" spans="1:1" x14ac:dyDescent="0.25">
      <c r="A658" s="70"/>
    </row>
    <row r="659" spans="1:1" x14ac:dyDescent="0.25">
      <c r="A659" s="70"/>
    </row>
    <row r="660" spans="1:1" x14ac:dyDescent="0.25">
      <c r="A660" s="70"/>
    </row>
    <row r="661" spans="1:1" x14ac:dyDescent="0.25">
      <c r="A661" s="70"/>
    </row>
    <row r="662" spans="1:1" x14ac:dyDescent="0.25">
      <c r="A662" s="70"/>
    </row>
    <row r="663" spans="1:1" x14ac:dyDescent="0.25">
      <c r="A663" s="70"/>
    </row>
    <row r="664" spans="1:1" x14ac:dyDescent="0.25">
      <c r="A664" s="70"/>
    </row>
    <row r="665" spans="1:1" x14ac:dyDescent="0.25">
      <c r="A665" s="70"/>
    </row>
    <row r="666" spans="1:1" x14ac:dyDescent="0.25">
      <c r="A666" s="70"/>
    </row>
    <row r="667" spans="1:1" x14ac:dyDescent="0.25">
      <c r="A667" s="70"/>
    </row>
    <row r="668" spans="1:1" x14ac:dyDescent="0.25">
      <c r="A668" s="70"/>
    </row>
    <row r="669" spans="1:1" x14ac:dyDescent="0.25">
      <c r="A669" s="70"/>
    </row>
    <row r="670" spans="1:1" x14ac:dyDescent="0.25">
      <c r="A670" s="70"/>
    </row>
    <row r="671" spans="1:1" x14ac:dyDescent="0.25">
      <c r="A671" s="70"/>
    </row>
    <row r="672" spans="1:1" x14ac:dyDescent="0.25">
      <c r="A672" s="70"/>
    </row>
    <row r="673" spans="1:1" x14ac:dyDescent="0.25">
      <c r="A673" s="70"/>
    </row>
    <row r="674" spans="1:1" x14ac:dyDescent="0.25">
      <c r="A674" s="70"/>
    </row>
    <row r="675" spans="1:1" x14ac:dyDescent="0.25">
      <c r="A675" s="70"/>
    </row>
    <row r="676" spans="1:1" x14ac:dyDescent="0.25">
      <c r="A676" s="70"/>
    </row>
    <row r="677" spans="1:1" x14ac:dyDescent="0.25">
      <c r="A677" s="70"/>
    </row>
    <row r="678" spans="1:1" x14ac:dyDescent="0.25">
      <c r="A678" s="70"/>
    </row>
    <row r="679" spans="1:1" x14ac:dyDescent="0.25">
      <c r="A679" s="70"/>
    </row>
    <row r="680" spans="1:1" x14ac:dyDescent="0.25">
      <c r="A680" s="70"/>
    </row>
    <row r="681" spans="1:1" x14ac:dyDescent="0.25">
      <c r="A681" s="70"/>
    </row>
    <row r="682" spans="1:1" x14ac:dyDescent="0.25">
      <c r="A682" s="70"/>
    </row>
    <row r="683" spans="1:1" x14ac:dyDescent="0.25">
      <c r="A683" s="70"/>
    </row>
    <row r="684" spans="1:1" x14ac:dyDescent="0.25">
      <c r="A684" s="70"/>
    </row>
    <row r="685" spans="1:1" x14ac:dyDescent="0.25">
      <c r="A685" s="70"/>
    </row>
    <row r="686" spans="1:1" x14ac:dyDescent="0.25">
      <c r="A686" s="70"/>
    </row>
    <row r="687" spans="1:1" x14ac:dyDescent="0.25">
      <c r="A687" s="70"/>
    </row>
    <row r="688" spans="1:1" x14ac:dyDescent="0.25">
      <c r="A688" s="70"/>
    </row>
    <row r="689" spans="1:1" x14ac:dyDescent="0.25">
      <c r="A689" s="70"/>
    </row>
    <row r="690" spans="1:1" x14ac:dyDescent="0.25">
      <c r="A690" s="70"/>
    </row>
    <row r="691" spans="1:1" x14ac:dyDescent="0.25">
      <c r="A691" s="70"/>
    </row>
    <row r="692" spans="1:1" x14ac:dyDescent="0.25">
      <c r="A692" s="70"/>
    </row>
    <row r="693" spans="1:1" x14ac:dyDescent="0.25">
      <c r="A693" s="70"/>
    </row>
    <row r="694" spans="1:1" x14ac:dyDescent="0.25">
      <c r="A694" s="70"/>
    </row>
    <row r="695" spans="1:1" x14ac:dyDescent="0.25">
      <c r="A695" s="70"/>
    </row>
    <row r="696" spans="1:1" x14ac:dyDescent="0.25">
      <c r="A696" s="70"/>
    </row>
    <row r="697" spans="1:1" x14ac:dyDescent="0.25">
      <c r="A697" s="70"/>
    </row>
    <row r="698" spans="1:1" x14ac:dyDescent="0.25">
      <c r="A698" s="70"/>
    </row>
    <row r="699" spans="1:1" x14ac:dyDescent="0.25">
      <c r="A699" s="70"/>
    </row>
    <row r="700" spans="1:1" x14ac:dyDescent="0.25">
      <c r="A700" s="70"/>
    </row>
    <row r="701" spans="1:1" x14ac:dyDescent="0.25">
      <c r="A701" s="70"/>
    </row>
    <row r="702" spans="1:1" x14ac:dyDescent="0.25">
      <c r="A702" s="70"/>
    </row>
    <row r="703" spans="1:1" x14ac:dyDescent="0.25">
      <c r="A703" s="70"/>
    </row>
    <row r="704" spans="1:1" x14ac:dyDescent="0.25">
      <c r="A704" s="70"/>
    </row>
    <row r="705" spans="1:1" x14ac:dyDescent="0.25">
      <c r="A705" s="70"/>
    </row>
    <row r="706" spans="1:1" x14ac:dyDescent="0.25">
      <c r="A706" s="70"/>
    </row>
    <row r="707" spans="1:1" x14ac:dyDescent="0.25">
      <c r="A707" s="70"/>
    </row>
    <row r="708" spans="1:1" x14ac:dyDescent="0.25">
      <c r="A708" s="70"/>
    </row>
    <row r="709" spans="1:1" x14ac:dyDescent="0.25">
      <c r="A709" s="70"/>
    </row>
    <row r="710" spans="1:1" x14ac:dyDescent="0.25">
      <c r="A710" s="70"/>
    </row>
    <row r="711" spans="1:1" x14ac:dyDescent="0.25">
      <c r="A711" s="70"/>
    </row>
    <row r="712" spans="1:1" x14ac:dyDescent="0.25">
      <c r="A712" s="70"/>
    </row>
    <row r="713" spans="1:1" x14ac:dyDescent="0.25">
      <c r="A713" s="70"/>
    </row>
    <row r="714" spans="1:1" x14ac:dyDescent="0.25">
      <c r="A714" s="70"/>
    </row>
    <row r="715" spans="1:1" x14ac:dyDescent="0.25">
      <c r="A715" s="70"/>
    </row>
    <row r="716" spans="1:1" x14ac:dyDescent="0.25">
      <c r="A716" s="70"/>
    </row>
    <row r="717" spans="1:1" x14ac:dyDescent="0.25">
      <c r="A717" s="70"/>
    </row>
    <row r="718" spans="1:1" x14ac:dyDescent="0.25">
      <c r="A718" s="70"/>
    </row>
    <row r="719" spans="1:1" x14ac:dyDescent="0.25">
      <c r="A719" s="70"/>
    </row>
    <row r="720" spans="1:1" x14ac:dyDescent="0.25">
      <c r="A720" s="70"/>
    </row>
    <row r="721" spans="1:1" x14ac:dyDescent="0.25">
      <c r="A721" s="70"/>
    </row>
    <row r="722" spans="1:1" x14ac:dyDescent="0.25">
      <c r="A722" s="70"/>
    </row>
    <row r="723" spans="1:1" x14ac:dyDescent="0.25">
      <c r="A723" s="70"/>
    </row>
    <row r="724" spans="1:1" x14ac:dyDescent="0.25">
      <c r="A724" s="70"/>
    </row>
    <row r="725" spans="1:1" x14ac:dyDescent="0.25">
      <c r="A725" s="70"/>
    </row>
    <row r="726" spans="1:1" x14ac:dyDescent="0.25">
      <c r="A726" s="70"/>
    </row>
    <row r="727" spans="1:1" x14ac:dyDescent="0.25">
      <c r="A727" s="70"/>
    </row>
    <row r="728" spans="1:1" x14ac:dyDescent="0.25">
      <c r="A728" s="70"/>
    </row>
    <row r="729" spans="1:1" x14ac:dyDescent="0.25">
      <c r="A729" s="70"/>
    </row>
    <row r="730" spans="1:1" x14ac:dyDescent="0.25">
      <c r="A730" s="70"/>
    </row>
    <row r="731" spans="1:1" x14ac:dyDescent="0.25">
      <c r="A731" s="70"/>
    </row>
    <row r="732" spans="1:1" x14ac:dyDescent="0.25">
      <c r="A732" s="70"/>
    </row>
    <row r="733" spans="1:1" x14ac:dyDescent="0.25">
      <c r="A733" s="70"/>
    </row>
    <row r="734" spans="1:1" x14ac:dyDescent="0.25">
      <c r="A734" s="70"/>
    </row>
    <row r="735" spans="1:1" x14ac:dyDescent="0.25">
      <c r="A735" s="70"/>
    </row>
    <row r="736" spans="1:1" x14ac:dyDescent="0.25">
      <c r="A736" s="70"/>
    </row>
    <row r="737" spans="1:1" x14ac:dyDescent="0.25">
      <c r="A737" s="70"/>
    </row>
    <row r="738" spans="1:1" x14ac:dyDescent="0.25">
      <c r="A738" s="70"/>
    </row>
    <row r="739" spans="1:1" x14ac:dyDescent="0.25">
      <c r="A739" s="70"/>
    </row>
    <row r="740" spans="1:1" x14ac:dyDescent="0.25">
      <c r="A740" s="70"/>
    </row>
    <row r="741" spans="1:1" x14ac:dyDescent="0.25">
      <c r="A741" s="70"/>
    </row>
    <row r="742" spans="1:1" x14ac:dyDescent="0.25">
      <c r="A742" s="70"/>
    </row>
    <row r="743" spans="1:1" x14ac:dyDescent="0.25">
      <c r="A743" s="70"/>
    </row>
    <row r="744" spans="1:1" x14ac:dyDescent="0.25">
      <c r="A744" s="70"/>
    </row>
    <row r="745" spans="1:1" x14ac:dyDescent="0.25">
      <c r="A745" s="70"/>
    </row>
    <row r="746" spans="1:1" x14ac:dyDescent="0.25">
      <c r="A746" s="70"/>
    </row>
    <row r="747" spans="1:1" x14ac:dyDescent="0.25">
      <c r="A747" s="70"/>
    </row>
    <row r="748" spans="1:1" x14ac:dyDescent="0.25">
      <c r="A748" s="70"/>
    </row>
    <row r="749" spans="1:1" x14ac:dyDescent="0.25">
      <c r="A749" s="70"/>
    </row>
    <row r="750" spans="1:1" x14ac:dyDescent="0.25">
      <c r="A750" s="70"/>
    </row>
    <row r="751" spans="1:1" x14ac:dyDescent="0.25">
      <c r="A751" s="70"/>
    </row>
    <row r="752" spans="1:1" x14ac:dyDescent="0.25">
      <c r="A752" s="70"/>
    </row>
    <row r="753" spans="1:1" x14ac:dyDescent="0.25">
      <c r="A753" s="70"/>
    </row>
    <row r="754" spans="1:1" x14ac:dyDescent="0.25">
      <c r="A754" s="70"/>
    </row>
    <row r="755" spans="1:1" x14ac:dyDescent="0.25">
      <c r="A755" s="70"/>
    </row>
    <row r="756" spans="1:1" x14ac:dyDescent="0.25">
      <c r="A756" s="70"/>
    </row>
    <row r="757" spans="1:1" x14ac:dyDescent="0.25">
      <c r="A757" s="70"/>
    </row>
    <row r="758" spans="1:1" x14ac:dyDescent="0.25">
      <c r="A758" s="70"/>
    </row>
    <row r="759" spans="1:1" x14ac:dyDescent="0.25">
      <c r="A759" s="70"/>
    </row>
    <row r="760" spans="1:1" x14ac:dyDescent="0.25">
      <c r="A760" s="70"/>
    </row>
    <row r="761" spans="1:1" x14ac:dyDescent="0.25">
      <c r="A761" s="70"/>
    </row>
    <row r="762" spans="1:1" x14ac:dyDescent="0.25">
      <c r="A762" s="70"/>
    </row>
    <row r="763" spans="1:1" x14ac:dyDescent="0.25">
      <c r="A763" s="70"/>
    </row>
    <row r="764" spans="1:1" x14ac:dyDescent="0.25">
      <c r="A764" s="70"/>
    </row>
    <row r="765" spans="1:1" x14ac:dyDescent="0.25">
      <c r="A765" s="70"/>
    </row>
    <row r="766" spans="1:1" x14ac:dyDescent="0.25">
      <c r="A766" s="70"/>
    </row>
    <row r="767" spans="1:1" x14ac:dyDescent="0.25">
      <c r="A767" s="70"/>
    </row>
    <row r="768" spans="1:1" x14ac:dyDescent="0.25">
      <c r="A768" s="70"/>
    </row>
    <row r="769" spans="1:1" x14ac:dyDescent="0.25">
      <c r="A769" s="70"/>
    </row>
    <row r="770" spans="1:1" x14ac:dyDescent="0.25">
      <c r="A770" s="70"/>
    </row>
    <row r="771" spans="1:1" x14ac:dyDescent="0.25">
      <c r="A771" s="70"/>
    </row>
    <row r="772" spans="1:1" x14ac:dyDescent="0.25">
      <c r="A772" s="70"/>
    </row>
    <row r="773" spans="1:1" x14ac:dyDescent="0.25">
      <c r="A773" s="70"/>
    </row>
    <row r="774" spans="1:1" x14ac:dyDescent="0.25">
      <c r="A774" s="70"/>
    </row>
    <row r="775" spans="1:1" x14ac:dyDescent="0.25">
      <c r="A775" s="70"/>
    </row>
    <row r="776" spans="1:1" x14ac:dyDescent="0.25">
      <c r="A776" s="70"/>
    </row>
    <row r="777" spans="1:1" x14ac:dyDescent="0.25">
      <c r="A777" s="70"/>
    </row>
    <row r="778" spans="1:1" x14ac:dyDescent="0.25">
      <c r="A778" s="70"/>
    </row>
    <row r="779" spans="1:1" x14ac:dyDescent="0.25">
      <c r="A779" s="70"/>
    </row>
    <row r="780" spans="1:1" x14ac:dyDescent="0.25">
      <c r="A780" s="70"/>
    </row>
    <row r="781" spans="1:1" x14ac:dyDescent="0.25">
      <c r="A781" s="70"/>
    </row>
    <row r="782" spans="1:1" x14ac:dyDescent="0.25">
      <c r="A782" s="70"/>
    </row>
    <row r="783" spans="1:1" x14ac:dyDescent="0.25">
      <c r="A783" s="70"/>
    </row>
    <row r="784" spans="1:1" x14ac:dyDescent="0.25">
      <c r="A784" s="70"/>
    </row>
    <row r="785" spans="1:1" x14ac:dyDescent="0.25">
      <c r="A785" s="70"/>
    </row>
    <row r="786" spans="1:1" x14ac:dyDescent="0.25">
      <c r="A786" s="70"/>
    </row>
    <row r="787" spans="1:1" x14ac:dyDescent="0.25">
      <c r="A787" s="70"/>
    </row>
    <row r="788" spans="1:1" x14ac:dyDescent="0.25">
      <c r="A788" s="70"/>
    </row>
    <row r="789" spans="1:1" x14ac:dyDescent="0.25">
      <c r="A789" s="70"/>
    </row>
    <row r="790" spans="1:1" x14ac:dyDescent="0.25">
      <c r="A790" s="70"/>
    </row>
    <row r="791" spans="1:1" x14ac:dyDescent="0.25">
      <c r="A791" s="70"/>
    </row>
    <row r="792" spans="1:1" x14ac:dyDescent="0.25">
      <c r="A792" s="70"/>
    </row>
    <row r="793" spans="1:1" x14ac:dyDescent="0.25">
      <c r="A793" s="70"/>
    </row>
    <row r="794" spans="1:1" x14ac:dyDescent="0.25">
      <c r="A794" s="70"/>
    </row>
    <row r="795" spans="1:1" x14ac:dyDescent="0.25">
      <c r="A795" s="70"/>
    </row>
    <row r="796" spans="1:1" x14ac:dyDescent="0.25">
      <c r="A796" s="70"/>
    </row>
    <row r="797" spans="1:1" x14ac:dyDescent="0.25">
      <c r="A797" s="70"/>
    </row>
    <row r="798" spans="1:1" x14ac:dyDescent="0.25">
      <c r="A798" s="70"/>
    </row>
    <row r="799" spans="1:1" x14ac:dyDescent="0.25">
      <c r="A799" s="70"/>
    </row>
    <row r="800" spans="1:1" x14ac:dyDescent="0.25">
      <c r="A800" s="70"/>
    </row>
    <row r="801" spans="1:1" x14ac:dyDescent="0.25">
      <c r="A801" s="70"/>
    </row>
    <row r="802" spans="1:1" x14ac:dyDescent="0.25">
      <c r="A802" s="70"/>
    </row>
    <row r="803" spans="1:1" x14ac:dyDescent="0.25">
      <c r="A803" s="70"/>
    </row>
    <row r="804" spans="1:1" x14ac:dyDescent="0.25">
      <c r="A804" s="70"/>
    </row>
    <row r="805" spans="1:1" x14ac:dyDescent="0.25">
      <c r="A805" s="70"/>
    </row>
    <row r="806" spans="1:1" x14ac:dyDescent="0.25">
      <c r="A806" s="70"/>
    </row>
    <row r="807" spans="1:1" x14ac:dyDescent="0.25">
      <c r="A807" s="70"/>
    </row>
    <row r="808" spans="1:1" x14ac:dyDescent="0.25">
      <c r="A808" s="70"/>
    </row>
    <row r="809" spans="1:1" x14ac:dyDescent="0.25">
      <c r="A809" s="70"/>
    </row>
    <row r="810" spans="1:1" x14ac:dyDescent="0.25">
      <c r="A810" s="70"/>
    </row>
    <row r="811" spans="1:1" x14ac:dyDescent="0.25">
      <c r="A811" s="70"/>
    </row>
    <row r="812" spans="1:1" x14ac:dyDescent="0.25">
      <c r="A812" s="70"/>
    </row>
    <row r="813" spans="1:1" x14ac:dyDescent="0.25">
      <c r="A813" s="70"/>
    </row>
    <row r="814" spans="1:1" x14ac:dyDescent="0.25">
      <c r="A814" s="70"/>
    </row>
    <row r="815" spans="1:1" x14ac:dyDescent="0.25">
      <c r="A815" s="70"/>
    </row>
    <row r="816" spans="1:1" x14ac:dyDescent="0.25">
      <c r="A816" s="70"/>
    </row>
    <row r="817" spans="1:1" x14ac:dyDescent="0.25">
      <c r="A817" s="70"/>
    </row>
    <row r="818" spans="1:1" x14ac:dyDescent="0.25">
      <c r="A818" s="70"/>
    </row>
    <row r="819" spans="1:1" x14ac:dyDescent="0.25">
      <c r="A819" s="70"/>
    </row>
    <row r="820" spans="1:1" x14ac:dyDescent="0.25">
      <c r="A820" s="70"/>
    </row>
    <row r="821" spans="1:1" x14ac:dyDescent="0.25">
      <c r="A821" s="70"/>
    </row>
    <row r="822" spans="1:1" x14ac:dyDescent="0.25">
      <c r="A822" s="70"/>
    </row>
    <row r="823" spans="1:1" x14ac:dyDescent="0.25">
      <c r="A823" s="70"/>
    </row>
    <row r="824" spans="1:1" x14ac:dyDescent="0.25">
      <c r="A824" s="70"/>
    </row>
    <row r="825" spans="1:1" x14ac:dyDescent="0.25">
      <c r="A825" s="70"/>
    </row>
    <row r="826" spans="1:1" x14ac:dyDescent="0.25">
      <c r="A826" s="70"/>
    </row>
    <row r="827" spans="1:1" x14ac:dyDescent="0.25">
      <c r="A827" s="70"/>
    </row>
    <row r="828" spans="1:1" x14ac:dyDescent="0.25">
      <c r="A828" s="70"/>
    </row>
    <row r="829" spans="1:1" x14ac:dyDescent="0.25">
      <c r="A829" s="70"/>
    </row>
    <row r="830" spans="1:1" x14ac:dyDescent="0.25">
      <c r="A830" s="70"/>
    </row>
    <row r="831" spans="1:1" x14ac:dyDescent="0.25">
      <c r="A831" s="70"/>
    </row>
    <row r="832" spans="1:1" x14ac:dyDescent="0.25">
      <c r="A832" s="70"/>
    </row>
    <row r="833" spans="1:1" x14ac:dyDescent="0.25">
      <c r="A833" s="70"/>
    </row>
    <row r="834" spans="1:1" x14ac:dyDescent="0.25">
      <c r="A834" s="70"/>
    </row>
    <row r="835" spans="1:1" x14ac:dyDescent="0.25">
      <c r="A835" s="70"/>
    </row>
    <row r="836" spans="1:1" x14ac:dyDescent="0.25">
      <c r="A836" s="70"/>
    </row>
    <row r="837" spans="1:1" x14ac:dyDescent="0.25">
      <c r="A837" s="70"/>
    </row>
    <row r="838" spans="1:1" x14ac:dyDescent="0.25">
      <c r="A838" s="70"/>
    </row>
    <row r="839" spans="1:1" x14ac:dyDescent="0.25">
      <c r="A839" s="70"/>
    </row>
    <row r="840" spans="1:1" x14ac:dyDescent="0.25">
      <c r="A840" s="70"/>
    </row>
    <row r="841" spans="1:1" x14ac:dyDescent="0.25">
      <c r="A841" s="70"/>
    </row>
    <row r="842" spans="1:1" x14ac:dyDescent="0.25">
      <c r="A842" s="70"/>
    </row>
    <row r="843" spans="1:1" x14ac:dyDescent="0.25">
      <c r="A843" s="70"/>
    </row>
    <row r="844" spans="1:1" x14ac:dyDescent="0.25">
      <c r="A844" s="70"/>
    </row>
    <row r="845" spans="1:1" x14ac:dyDescent="0.25">
      <c r="A845" s="70"/>
    </row>
    <row r="846" spans="1:1" x14ac:dyDescent="0.25">
      <c r="A846" s="70"/>
    </row>
    <row r="847" spans="1:1" x14ac:dyDescent="0.25">
      <c r="A847" s="70"/>
    </row>
    <row r="848" spans="1:1" x14ac:dyDescent="0.25">
      <c r="A848" s="70"/>
    </row>
    <row r="849" spans="1:1" x14ac:dyDescent="0.25">
      <c r="A849" s="70"/>
    </row>
    <row r="850" spans="1:1" x14ac:dyDescent="0.25">
      <c r="A850" s="70"/>
    </row>
    <row r="851" spans="1:1" x14ac:dyDescent="0.25">
      <c r="A851" s="70"/>
    </row>
    <row r="852" spans="1:1" x14ac:dyDescent="0.25">
      <c r="A852" s="70"/>
    </row>
    <row r="853" spans="1:1" x14ac:dyDescent="0.25">
      <c r="A853" s="70"/>
    </row>
    <row r="854" spans="1:1" x14ac:dyDescent="0.25">
      <c r="A854" s="70"/>
    </row>
    <row r="855" spans="1:1" x14ac:dyDescent="0.25">
      <c r="A855" s="70"/>
    </row>
    <row r="856" spans="1:1" x14ac:dyDescent="0.25">
      <c r="A856" s="70"/>
    </row>
    <row r="857" spans="1:1" x14ac:dyDescent="0.25">
      <c r="A857" s="70"/>
    </row>
    <row r="858" spans="1:1" x14ac:dyDescent="0.25">
      <c r="A858" s="70"/>
    </row>
    <row r="859" spans="1:1" x14ac:dyDescent="0.25">
      <c r="A859" s="70"/>
    </row>
    <row r="860" spans="1:1" x14ac:dyDescent="0.25">
      <c r="A860" s="70"/>
    </row>
    <row r="861" spans="1:1" x14ac:dyDescent="0.25">
      <c r="A861" s="70"/>
    </row>
    <row r="862" spans="1:1" x14ac:dyDescent="0.25">
      <c r="A862" s="70"/>
    </row>
    <row r="863" spans="1:1" x14ac:dyDescent="0.25">
      <c r="A863" s="70"/>
    </row>
    <row r="864" spans="1:1" x14ac:dyDescent="0.25">
      <c r="A864" s="70"/>
    </row>
    <row r="865" spans="1:1" x14ac:dyDescent="0.25">
      <c r="A865" s="70"/>
    </row>
    <row r="866" spans="1:1" x14ac:dyDescent="0.25">
      <c r="A866" s="70"/>
    </row>
    <row r="867" spans="1:1" x14ac:dyDescent="0.25">
      <c r="A867" s="70"/>
    </row>
    <row r="868" spans="1:1" x14ac:dyDescent="0.25">
      <c r="A868" s="70"/>
    </row>
    <row r="869" spans="1:1" x14ac:dyDescent="0.25">
      <c r="A869" s="70"/>
    </row>
    <row r="870" spans="1:1" x14ac:dyDescent="0.25">
      <c r="A870" s="70"/>
    </row>
    <row r="871" spans="1:1" x14ac:dyDescent="0.25">
      <c r="A871" s="70"/>
    </row>
    <row r="872" spans="1:1" x14ac:dyDescent="0.25">
      <c r="A872" s="70"/>
    </row>
    <row r="873" spans="1:1" x14ac:dyDescent="0.25">
      <c r="A873" s="70"/>
    </row>
    <row r="874" spans="1:1" x14ac:dyDescent="0.25">
      <c r="A874" s="70"/>
    </row>
    <row r="875" spans="1:1" x14ac:dyDescent="0.25">
      <c r="A875" s="70"/>
    </row>
    <row r="876" spans="1:1" x14ac:dyDescent="0.25">
      <c r="A876" s="70"/>
    </row>
    <row r="877" spans="1:1" x14ac:dyDescent="0.25">
      <c r="A877" s="70"/>
    </row>
    <row r="878" spans="1:1" x14ac:dyDescent="0.25">
      <c r="A878" s="70"/>
    </row>
    <row r="879" spans="1:1" x14ac:dyDescent="0.25">
      <c r="A879" s="70"/>
    </row>
    <row r="880" spans="1:1" x14ac:dyDescent="0.25">
      <c r="A880" s="70"/>
    </row>
    <row r="881" spans="1:1" x14ac:dyDescent="0.25">
      <c r="A881" s="70"/>
    </row>
    <row r="882" spans="1:1" x14ac:dyDescent="0.25">
      <c r="A882" s="70"/>
    </row>
    <row r="883" spans="1:1" x14ac:dyDescent="0.25">
      <c r="A883" s="70"/>
    </row>
    <row r="884" spans="1:1" x14ac:dyDescent="0.25">
      <c r="A884" s="70"/>
    </row>
    <row r="885" spans="1:1" x14ac:dyDescent="0.25">
      <c r="A885" s="70"/>
    </row>
    <row r="886" spans="1:1" x14ac:dyDescent="0.25">
      <c r="A886" s="70"/>
    </row>
    <row r="887" spans="1:1" x14ac:dyDescent="0.25">
      <c r="A887" s="70"/>
    </row>
    <row r="888" spans="1:1" x14ac:dyDescent="0.25">
      <c r="A888" s="70"/>
    </row>
    <row r="889" spans="1:1" x14ac:dyDescent="0.25">
      <c r="A889" s="70"/>
    </row>
    <row r="890" spans="1:1" x14ac:dyDescent="0.25">
      <c r="A890" s="70"/>
    </row>
    <row r="891" spans="1:1" x14ac:dyDescent="0.25">
      <c r="A891" s="70"/>
    </row>
    <row r="892" spans="1:1" x14ac:dyDescent="0.25">
      <c r="A892" s="70"/>
    </row>
    <row r="893" spans="1:1" x14ac:dyDescent="0.25">
      <c r="A893" s="70"/>
    </row>
    <row r="894" spans="1:1" x14ac:dyDescent="0.25">
      <c r="A894" s="70"/>
    </row>
    <row r="895" spans="1:1" x14ac:dyDescent="0.25">
      <c r="A895" s="70"/>
    </row>
    <row r="896" spans="1:1" x14ac:dyDescent="0.25">
      <c r="A896" s="70"/>
    </row>
    <row r="897" spans="1:1" x14ac:dyDescent="0.25">
      <c r="A897" s="70"/>
    </row>
    <row r="898" spans="1:1" x14ac:dyDescent="0.25">
      <c r="A898" s="70"/>
    </row>
    <row r="899" spans="1:1" x14ac:dyDescent="0.25">
      <c r="A899" s="70"/>
    </row>
    <row r="900" spans="1:1" x14ac:dyDescent="0.25">
      <c r="A900" s="70"/>
    </row>
    <row r="901" spans="1:1" x14ac:dyDescent="0.25">
      <c r="A901" s="70"/>
    </row>
    <row r="902" spans="1:1" x14ac:dyDescent="0.25">
      <c r="A902" s="70"/>
    </row>
    <row r="903" spans="1:1" x14ac:dyDescent="0.25">
      <c r="A903" s="70"/>
    </row>
    <row r="904" spans="1:1" x14ac:dyDescent="0.25">
      <c r="A904" s="70"/>
    </row>
    <row r="905" spans="1:1" x14ac:dyDescent="0.25">
      <c r="A905" s="70"/>
    </row>
    <row r="906" spans="1:1" x14ac:dyDescent="0.25">
      <c r="A906" s="70"/>
    </row>
    <row r="907" spans="1:1" x14ac:dyDescent="0.25">
      <c r="A907" s="70"/>
    </row>
    <row r="908" spans="1:1" x14ac:dyDescent="0.25">
      <c r="A908" s="70"/>
    </row>
    <row r="909" spans="1:1" x14ac:dyDescent="0.25">
      <c r="A909" s="70"/>
    </row>
    <row r="910" spans="1:1" x14ac:dyDescent="0.25">
      <c r="A910" s="70"/>
    </row>
    <row r="911" spans="1:1" x14ac:dyDescent="0.25">
      <c r="A911" s="70"/>
    </row>
    <row r="912" spans="1:1" x14ac:dyDescent="0.25">
      <c r="A912" s="70"/>
    </row>
    <row r="913" spans="1:1" x14ac:dyDescent="0.25">
      <c r="A913" s="70"/>
    </row>
    <row r="914" spans="1:1" x14ac:dyDescent="0.25">
      <c r="A914" s="70"/>
    </row>
    <row r="915" spans="1:1" x14ac:dyDescent="0.25">
      <c r="A915" s="70"/>
    </row>
    <row r="916" spans="1:1" x14ac:dyDescent="0.25">
      <c r="A916" s="70"/>
    </row>
    <row r="917" spans="1:1" x14ac:dyDescent="0.25">
      <c r="A917" s="70"/>
    </row>
    <row r="918" spans="1:1" x14ac:dyDescent="0.25">
      <c r="A918" s="70"/>
    </row>
    <row r="919" spans="1:1" x14ac:dyDescent="0.25">
      <c r="A919" s="70"/>
    </row>
    <row r="920" spans="1:1" x14ac:dyDescent="0.25">
      <c r="A920" s="70"/>
    </row>
    <row r="921" spans="1:1" x14ac:dyDescent="0.25">
      <c r="A921" s="70"/>
    </row>
    <row r="922" spans="1:1" x14ac:dyDescent="0.25">
      <c r="A922" s="70"/>
    </row>
    <row r="923" spans="1:1" x14ac:dyDescent="0.25">
      <c r="A923" s="70"/>
    </row>
    <row r="924" spans="1:1" x14ac:dyDescent="0.25">
      <c r="A924" s="70"/>
    </row>
    <row r="925" spans="1:1" x14ac:dyDescent="0.25">
      <c r="A925" s="70"/>
    </row>
    <row r="926" spans="1:1" x14ac:dyDescent="0.25">
      <c r="A926" s="70"/>
    </row>
    <row r="927" spans="1:1" x14ac:dyDescent="0.25">
      <c r="A927" s="70"/>
    </row>
    <row r="928" spans="1:1" x14ac:dyDescent="0.25">
      <c r="A928" s="70"/>
    </row>
    <row r="929" spans="1:1" x14ac:dyDescent="0.25">
      <c r="A929" s="70"/>
    </row>
    <row r="930" spans="1:1" x14ac:dyDescent="0.25">
      <c r="A930" s="70"/>
    </row>
    <row r="931" spans="1:1" x14ac:dyDescent="0.25">
      <c r="A931" s="70"/>
    </row>
    <row r="932" spans="1:1" x14ac:dyDescent="0.25">
      <c r="A932" s="70"/>
    </row>
    <row r="933" spans="1:1" x14ac:dyDescent="0.25">
      <c r="A933" s="70"/>
    </row>
    <row r="934" spans="1:1" x14ac:dyDescent="0.25">
      <c r="A934" s="70"/>
    </row>
    <row r="935" spans="1:1" x14ac:dyDescent="0.25">
      <c r="A935" s="70"/>
    </row>
    <row r="936" spans="1:1" x14ac:dyDescent="0.25">
      <c r="A936" s="70"/>
    </row>
    <row r="937" spans="1:1" x14ac:dyDescent="0.25">
      <c r="A937" s="70"/>
    </row>
    <row r="938" spans="1:1" x14ac:dyDescent="0.25">
      <c r="A938" s="70"/>
    </row>
    <row r="939" spans="1:1" x14ac:dyDescent="0.25">
      <c r="A939" s="70"/>
    </row>
    <row r="940" spans="1:1" x14ac:dyDescent="0.25">
      <c r="A940" s="70"/>
    </row>
    <row r="941" spans="1:1" x14ac:dyDescent="0.25">
      <c r="A941" s="70"/>
    </row>
    <row r="942" spans="1:1" x14ac:dyDescent="0.25">
      <c r="A942" s="70"/>
    </row>
    <row r="943" spans="1:1" x14ac:dyDescent="0.25">
      <c r="A943" s="70"/>
    </row>
    <row r="944" spans="1:1" x14ac:dyDescent="0.25">
      <c r="A944" s="70"/>
    </row>
    <row r="945" spans="1:1" x14ac:dyDescent="0.25">
      <c r="A945" s="70"/>
    </row>
    <row r="946" spans="1:1" x14ac:dyDescent="0.25">
      <c r="A946" s="70"/>
    </row>
    <row r="947" spans="1:1" x14ac:dyDescent="0.25">
      <c r="A947" s="70"/>
    </row>
    <row r="948" spans="1:1" x14ac:dyDescent="0.25">
      <c r="A948" s="70"/>
    </row>
    <row r="949" spans="1:1" x14ac:dyDescent="0.25">
      <c r="A949" s="70"/>
    </row>
    <row r="950" spans="1:1" x14ac:dyDescent="0.25">
      <c r="A950" s="70"/>
    </row>
    <row r="951" spans="1:1" x14ac:dyDescent="0.25">
      <c r="A951" s="70"/>
    </row>
    <row r="952" spans="1:1" x14ac:dyDescent="0.25">
      <c r="A952" s="70"/>
    </row>
    <row r="953" spans="1:1" x14ac:dyDescent="0.25">
      <c r="A953" s="70"/>
    </row>
    <row r="954" spans="1:1" x14ac:dyDescent="0.25">
      <c r="A954" s="70"/>
    </row>
    <row r="955" spans="1:1" x14ac:dyDescent="0.25">
      <c r="A955" s="70"/>
    </row>
    <row r="956" spans="1:1" x14ac:dyDescent="0.25">
      <c r="A956" s="70"/>
    </row>
    <row r="957" spans="1:1" x14ac:dyDescent="0.25">
      <c r="A957" s="70"/>
    </row>
    <row r="958" spans="1:1" x14ac:dyDescent="0.25">
      <c r="A958" s="70"/>
    </row>
    <row r="959" spans="1:1" x14ac:dyDescent="0.25">
      <c r="A959" s="70"/>
    </row>
    <row r="960" spans="1:1" x14ac:dyDescent="0.25">
      <c r="A960" s="70"/>
    </row>
    <row r="961" spans="1:1" x14ac:dyDescent="0.25">
      <c r="A961" s="70"/>
    </row>
    <row r="962" spans="1:1" x14ac:dyDescent="0.25">
      <c r="A962" s="70"/>
    </row>
    <row r="963" spans="1:1" x14ac:dyDescent="0.25">
      <c r="A963" s="70"/>
    </row>
    <row r="964" spans="1:1" x14ac:dyDescent="0.25">
      <c r="A964" s="70"/>
    </row>
    <row r="965" spans="1:1" x14ac:dyDescent="0.25">
      <c r="A965" s="70"/>
    </row>
    <row r="966" spans="1:1" x14ac:dyDescent="0.25">
      <c r="A966" s="70"/>
    </row>
    <row r="967" spans="1:1" x14ac:dyDescent="0.25">
      <c r="A967" s="70"/>
    </row>
    <row r="968" spans="1:1" x14ac:dyDescent="0.25">
      <c r="A968" s="70"/>
    </row>
    <row r="969" spans="1:1" x14ac:dyDescent="0.25">
      <c r="A969" s="70"/>
    </row>
    <row r="970" spans="1:1" x14ac:dyDescent="0.25">
      <c r="A970" s="70"/>
    </row>
    <row r="971" spans="1:1" x14ac:dyDescent="0.25">
      <c r="A971" s="70"/>
    </row>
    <row r="972" spans="1:1" x14ac:dyDescent="0.25">
      <c r="A972" s="70"/>
    </row>
    <row r="973" spans="1:1" x14ac:dyDescent="0.25">
      <c r="A973" s="70"/>
    </row>
    <row r="974" spans="1:1" x14ac:dyDescent="0.25">
      <c r="A974" s="70"/>
    </row>
    <row r="975" spans="1:1" x14ac:dyDescent="0.25">
      <c r="A975" s="70"/>
    </row>
    <row r="976" spans="1:1" x14ac:dyDescent="0.25">
      <c r="A976" s="70"/>
    </row>
    <row r="977" spans="1:1" x14ac:dyDescent="0.25">
      <c r="A977" s="70"/>
    </row>
    <row r="978" spans="1:1" x14ac:dyDescent="0.25">
      <c r="A978" s="70"/>
    </row>
    <row r="979" spans="1:1" x14ac:dyDescent="0.25">
      <c r="A979" s="70"/>
    </row>
    <row r="980" spans="1:1" x14ac:dyDescent="0.25">
      <c r="A980" s="70"/>
    </row>
    <row r="981" spans="1:1" x14ac:dyDescent="0.25">
      <c r="A981" s="70"/>
    </row>
    <row r="982" spans="1:1" x14ac:dyDescent="0.25">
      <c r="A982" s="70"/>
    </row>
    <row r="983" spans="1:1" x14ac:dyDescent="0.25">
      <c r="A983" s="70"/>
    </row>
    <row r="984" spans="1:1" x14ac:dyDescent="0.25">
      <c r="A984" s="70"/>
    </row>
    <row r="985" spans="1:1" x14ac:dyDescent="0.25">
      <c r="A985" s="70"/>
    </row>
    <row r="986" spans="1:1" x14ac:dyDescent="0.25">
      <c r="A986" s="70"/>
    </row>
    <row r="987" spans="1:1" x14ac:dyDescent="0.25">
      <c r="A987" s="70"/>
    </row>
    <row r="988" spans="1:1" x14ac:dyDescent="0.25">
      <c r="A988" s="70"/>
    </row>
    <row r="989" spans="1:1" x14ac:dyDescent="0.25">
      <c r="A989" s="70"/>
    </row>
    <row r="990" spans="1:1" x14ac:dyDescent="0.25">
      <c r="A990" s="70"/>
    </row>
    <row r="991" spans="1:1" x14ac:dyDescent="0.25">
      <c r="A991" s="70"/>
    </row>
    <row r="992" spans="1:1" x14ac:dyDescent="0.25">
      <c r="A992" s="70"/>
    </row>
    <row r="993" spans="1:1" x14ac:dyDescent="0.25">
      <c r="A993" s="70"/>
    </row>
    <row r="994" spans="1:1" x14ac:dyDescent="0.25">
      <c r="A994" s="70"/>
    </row>
    <row r="995" spans="1:1" x14ac:dyDescent="0.25">
      <c r="A995" s="70"/>
    </row>
    <row r="996" spans="1:1" x14ac:dyDescent="0.25">
      <c r="A996" s="70"/>
    </row>
    <row r="997" spans="1:1" x14ac:dyDescent="0.25">
      <c r="A997" s="70"/>
    </row>
    <row r="998" spans="1:1" x14ac:dyDescent="0.25">
      <c r="A998" s="70"/>
    </row>
    <row r="999" spans="1:1" x14ac:dyDescent="0.25">
      <c r="A999" s="70"/>
    </row>
    <row r="1000" spans="1:1" x14ac:dyDescent="0.25">
      <c r="A1000" s="70"/>
    </row>
    <row r="1001" spans="1:1" x14ac:dyDescent="0.25">
      <c r="A1001" s="70"/>
    </row>
    <row r="1002" spans="1:1" x14ac:dyDescent="0.25">
      <c r="A1002" s="70"/>
    </row>
    <row r="1003" spans="1:1" x14ac:dyDescent="0.25">
      <c r="A1003" s="70"/>
    </row>
    <row r="1004" spans="1:1" x14ac:dyDescent="0.25">
      <c r="A1004" s="70"/>
    </row>
    <row r="1005" spans="1:1" x14ac:dyDescent="0.25">
      <c r="A1005" s="70"/>
    </row>
    <row r="1006" spans="1:1" x14ac:dyDescent="0.25">
      <c r="A1006" s="70"/>
    </row>
    <row r="1007" spans="1:1" x14ac:dyDescent="0.25">
      <c r="A1007" s="70"/>
    </row>
    <row r="1008" spans="1:1" x14ac:dyDescent="0.25">
      <c r="A1008" s="70"/>
    </row>
    <row r="1009" spans="1:1" x14ac:dyDescent="0.25">
      <c r="A1009" s="70"/>
    </row>
    <row r="1010" spans="1:1" x14ac:dyDescent="0.25">
      <c r="A1010" s="70"/>
    </row>
    <row r="1011" spans="1:1" x14ac:dyDescent="0.25">
      <c r="A1011" s="70"/>
    </row>
    <row r="1012" spans="1:1" x14ac:dyDescent="0.25">
      <c r="A1012" s="70"/>
    </row>
    <row r="1013" spans="1:1" x14ac:dyDescent="0.25">
      <c r="A1013" s="70"/>
    </row>
    <row r="1014" spans="1:1" x14ac:dyDescent="0.25">
      <c r="A1014" s="70"/>
    </row>
    <row r="1015" spans="1:1" x14ac:dyDescent="0.25">
      <c r="A1015" s="70"/>
    </row>
    <row r="1016" spans="1:1" x14ac:dyDescent="0.25">
      <c r="A1016" s="70"/>
    </row>
    <row r="1017" spans="1:1" x14ac:dyDescent="0.25">
      <c r="A1017" s="70"/>
    </row>
    <row r="1018" spans="1:1" x14ac:dyDescent="0.25">
      <c r="A1018" s="70"/>
    </row>
    <row r="1019" spans="1:1" x14ac:dyDescent="0.25">
      <c r="A1019" s="70"/>
    </row>
    <row r="1020" spans="1:1" x14ac:dyDescent="0.25">
      <c r="A1020" s="70"/>
    </row>
    <row r="1021" spans="1:1" x14ac:dyDescent="0.25">
      <c r="A1021" s="70"/>
    </row>
    <row r="1022" spans="1:1" x14ac:dyDescent="0.25">
      <c r="A1022" s="70"/>
    </row>
    <row r="1023" spans="1:1" x14ac:dyDescent="0.25">
      <c r="A1023" s="70"/>
    </row>
    <row r="1024" spans="1:1" x14ac:dyDescent="0.25">
      <c r="A1024" s="70"/>
    </row>
    <row r="1025" spans="1:1" x14ac:dyDescent="0.25">
      <c r="A1025" s="70"/>
    </row>
    <row r="1026" spans="1:1" x14ac:dyDescent="0.25">
      <c r="A1026" s="70"/>
    </row>
    <row r="1027" spans="1:1" x14ac:dyDescent="0.25">
      <c r="A1027" s="70"/>
    </row>
    <row r="1028" spans="1:1" x14ac:dyDescent="0.25">
      <c r="A1028" s="70"/>
    </row>
    <row r="1029" spans="1:1" x14ac:dyDescent="0.25">
      <c r="A1029" s="70"/>
    </row>
    <row r="1030" spans="1:1" x14ac:dyDescent="0.25">
      <c r="A1030" s="70"/>
    </row>
    <row r="1031" spans="1:1" x14ac:dyDescent="0.25">
      <c r="A1031" s="70"/>
    </row>
    <row r="1032" spans="1:1" x14ac:dyDescent="0.25">
      <c r="A1032" s="70"/>
    </row>
    <row r="1033" spans="1:1" x14ac:dyDescent="0.25">
      <c r="A1033" s="70"/>
    </row>
    <row r="1034" spans="1:1" x14ac:dyDescent="0.25">
      <c r="A1034" s="70"/>
    </row>
    <row r="1035" spans="1:1" x14ac:dyDescent="0.25">
      <c r="A1035" s="70"/>
    </row>
    <row r="1036" spans="1:1" x14ac:dyDescent="0.25">
      <c r="A1036" s="70"/>
    </row>
    <row r="1037" spans="1:1" x14ac:dyDescent="0.25">
      <c r="A1037" s="70"/>
    </row>
    <row r="1038" spans="1:1" x14ac:dyDescent="0.25">
      <c r="A1038" s="70"/>
    </row>
    <row r="1039" spans="1:1" x14ac:dyDescent="0.25">
      <c r="A1039" s="70"/>
    </row>
    <row r="1040" spans="1:1" x14ac:dyDescent="0.25">
      <c r="A1040" s="70"/>
    </row>
    <row r="1041" spans="1:1" x14ac:dyDescent="0.25">
      <c r="A1041" s="70"/>
    </row>
    <row r="1042" spans="1:1" x14ac:dyDescent="0.25">
      <c r="A1042" s="70"/>
    </row>
    <row r="1043" spans="1:1" x14ac:dyDescent="0.25">
      <c r="A1043" s="70"/>
    </row>
    <row r="1044" spans="1:1" x14ac:dyDescent="0.25">
      <c r="A1044" s="70"/>
    </row>
    <row r="1045" spans="1:1" x14ac:dyDescent="0.25">
      <c r="A1045" s="70"/>
    </row>
    <row r="1046" spans="1:1" x14ac:dyDescent="0.25">
      <c r="A1046" s="70"/>
    </row>
    <row r="1047" spans="1:1" x14ac:dyDescent="0.25">
      <c r="A1047" s="70"/>
    </row>
    <row r="1048" spans="1:1" x14ac:dyDescent="0.25">
      <c r="A1048" s="70"/>
    </row>
    <row r="1049" spans="1:1" x14ac:dyDescent="0.25">
      <c r="A1049" s="70"/>
    </row>
    <row r="1050" spans="1:1" x14ac:dyDescent="0.25">
      <c r="A1050" s="70"/>
    </row>
    <row r="1051" spans="1:1" x14ac:dyDescent="0.25">
      <c r="A1051" s="70"/>
    </row>
    <row r="1052" spans="1:1" x14ac:dyDescent="0.25">
      <c r="A1052" s="70"/>
    </row>
    <row r="1053" spans="1:1" x14ac:dyDescent="0.25">
      <c r="A1053" s="70"/>
    </row>
    <row r="1054" spans="1:1" x14ac:dyDescent="0.25">
      <c r="A1054" s="70"/>
    </row>
    <row r="1055" spans="1:1" x14ac:dyDescent="0.25">
      <c r="A1055" s="70"/>
    </row>
    <row r="1056" spans="1:1" x14ac:dyDescent="0.25">
      <c r="A1056" s="70"/>
    </row>
    <row r="1057" spans="1:1" x14ac:dyDescent="0.25">
      <c r="A1057" s="70"/>
    </row>
    <row r="1058" spans="1:1" x14ac:dyDescent="0.25">
      <c r="A1058" s="70"/>
    </row>
    <row r="1059" spans="1:1" x14ac:dyDescent="0.25">
      <c r="A1059" s="70"/>
    </row>
    <row r="1060" spans="1:1" x14ac:dyDescent="0.25">
      <c r="A1060" s="7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F0CA7-F4D7-4644-8FF3-A6675B6EB697}">
  <sheetPr codeName="Sheet1">
    <tabColor rgb="FFFF0000"/>
  </sheetPr>
  <dimension ref="A2:A56"/>
  <sheetViews>
    <sheetView showGridLines="0" workbookViewId="0">
      <selection activeCell="A8" sqref="A8"/>
    </sheetView>
  </sheetViews>
  <sheetFormatPr defaultRowHeight="29.25" x14ac:dyDescent="0.6"/>
  <cols>
    <col min="1" max="1" width="142.42578125" style="13" bestFit="1" customWidth="1"/>
    <col min="2" max="16384" width="9.140625" style="13"/>
  </cols>
  <sheetData>
    <row r="2" spans="1:1" x14ac:dyDescent="0.6">
      <c r="A2" s="12" t="s">
        <v>1449</v>
      </c>
    </row>
    <row r="3" spans="1:1" x14ac:dyDescent="0.6">
      <c r="A3" s="27" t="s">
        <v>1549</v>
      </c>
    </row>
    <row r="4" spans="1:1" x14ac:dyDescent="0.6">
      <c r="A4" s="14" t="s">
        <v>1440</v>
      </c>
    </row>
    <row r="6" spans="1:1" x14ac:dyDescent="0.6">
      <c r="A6" s="13" t="s">
        <v>1450</v>
      </c>
    </row>
    <row r="8" spans="1:1" x14ac:dyDescent="0.6">
      <c r="A8" s="13" t="s">
        <v>1451</v>
      </c>
    </row>
    <row r="10" spans="1:1" x14ac:dyDescent="0.6">
      <c r="A10" s="13" t="s">
        <v>1452</v>
      </c>
    </row>
    <row r="12" spans="1:1" x14ac:dyDescent="0.6">
      <c r="A12" s="14" t="s">
        <v>1441</v>
      </c>
    </row>
    <row r="14" spans="1:1" x14ac:dyDescent="0.6">
      <c r="A14" s="13" t="s">
        <v>1453</v>
      </c>
    </row>
    <row r="16" spans="1:1" x14ac:dyDescent="0.6">
      <c r="A16" s="13" t="s">
        <v>1454</v>
      </c>
    </row>
    <row r="18" spans="1:1" x14ac:dyDescent="0.6">
      <c r="A18" s="14" t="s">
        <v>1442</v>
      </c>
    </row>
    <row r="20" spans="1:1" x14ac:dyDescent="0.6">
      <c r="A20" s="13" t="s">
        <v>1522</v>
      </c>
    </row>
    <row r="24" spans="1:1" x14ac:dyDescent="0.6">
      <c r="A24" s="12" t="s">
        <v>1443</v>
      </c>
    </row>
    <row r="26" spans="1:1" x14ac:dyDescent="0.6">
      <c r="A26" s="14" t="s">
        <v>1444</v>
      </c>
    </row>
    <row r="28" spans="1:1" x14ac:dyDescent="0.6">
      <c r="A28" s="13" t="s">
        <v>1523</v>
      </c>
    </row>
    <row r="30" spans="1:1" x14ac:dyDescent="0.6">
      <c r="A30" s="13" t="s">
        <v>1524</v>
      </c>
    </row>
    <row r="32" spans="1:1" x14ac:dyDescent="0.6">
      <c r="A32" s="13" t="s">
        <v>1525</v>
      </c>
    </row>
    <row r="34" spans="1:1" x14ac:dyDescent="0.6">
      <c r="A34" s="13" t="s">
        <v>1445</v>
      </c>
    </row>
    <row r="36" spans="1:1" x14ac:dyDescent="0.6">
      <c r="A36" s="13" t="s">
        <v>1526</v>
      </c>
    </row>
    <row r="38" spans="1:1" x14ac:dyDescent="0.6">
      <c r="A38" s="14" t="s">
        <v>1446</v>
      </c>
    </row>
    <row r="40" spans="1:1" x14ac:dyDescent="0.6">
      <c r="A40" s="13" t="s">
        <v>1527</v>
      </c>
    </row>
    <row r="42" spans="1:1" x14ac:dyDescent="0.6">
      <c r="A42" s="13" t="s">
        <v>1528</v>
      </c>
    </row>
    <row r="44" spans="1:1" x14ac:dyDescent="0.6">
      <c r="A44" s="13" t="s">
        <v>1529</v>
      </c>
    </row>
    <row r="46" spans="1:1" x14ac:dyDescent="0.6">
      <c r="A46" s="13" t="s">
        <v>1530</v>
      </c>
    </row>
    <row r="50" spans="1:1" x14ac:dyDescent="0.6">
      <c r="A50" s="14" t="s">
        <v>1447</v>
      </c>
    </row>
    <row r="52" spans="1:1" x14ac:dyDescent="0.6">
      <c r="A52" s="13" t="s">
        <v>1531</v>
      </c>
    </row>
    <row r="54" spans="1:1" x14ac:dyDescent="0.6">
      <c r="A54" s="13" t="s">
        <v>1532</v>
      </c>
    </row>
    <row r="56" spans="1:1" x14ac:dyDescent="0.6">
      <c r="A56" s="13" t="s">
        <v>1448</v>
      </c>
    </row>
  </sheetData>
  <sheetProtection algorithmName="SHA-512" hashValue="rC7KnzL2erpj4A4U1TMVYfjWfF6KVu+d2BLjbtDmXEkrDl23Alh1ODF9VJV8zXHukjQ3NNb/VRwWUxeM1wizqQ==" saltValue="FMMuaacmIaLKv11VBV5YxQ==" spinCount="100000" sheet="1" objects="1" scenarios="1"/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B7364-482A-469D-9AFC-5266658449D7}">
  <sheetPr codeName="Sheet12">
    <tabColor rgb="FF00FF00"/>
  </sheetPr>
  <dimension ref="A1:O39"/>
  <sheetViews>
    <sheetView showGridLines="0" zoomScale="85" zoomScaleNormal="85" workbookViewId="0">
      <selection activeCell="H4" sqref="H4:J4"/>
    </sheetView>
  </sheetViews>
  <sheetFormatPr defaultRowHeight="17.25" x14ac:dyDescent="0.25"/>
  <cols>
    <col min="1" max="1" width="51.28515625" style="156" customWidth="1"/>
    <col min="2" max="2" width="12.5703125" style="156" customWidth="1"/>
    <col min="3" max="12" width="9.140625" style="156"/>
    <col min="13" max="13" width="6.7109375" style="156" customWidth="1"/>
    <col min="14" max="14" width="24.42578125" style="156" customWidth="1"/>
    <col min="15" max="15" width="15.85546875" style="156" customWidth="1"/>
    <col min="16" max="16384" width="9.140625" style="156"/>
  </cols>
  <sheetData>
    <row r="1" spans="1:15" ht="27.75" customHeight="1" x14ac:dyDescent="0.25">
      <c r="A1" s="153" t="s">
        <v>1548</v>
      </c>
      <c r="B1" s="153"/>
      <c r="F1" s="163" t="s">
        <v>1557</v>
      </c>
      <c r="G1" s="163"/>
      <c r="H1" s="163"/>
      <c r="I1" s="163"/>
      <c r="J1" s="163"/>
      <c r="K1" s="163"/>
      <c r="L1" s="163"/>
    </row>
    <row r="2" spans="1:15" ht="29.25" customHeight="1" x14ac:dyDescent="0.25">
      <c r="A2" s="159" t="s">
        <v>1539</v>
      </c>
      <c r="B2" s="160" t="s">
        <v>1540</v>
      </c>
      <c r="F2" s="163"/>
      <c r="G2" s="163"/>
      <c r="H2" s="163"/>
      <c r="I2" s="163"/>
      <c r="J2" s="163"/>
      <c r="K2" s="163"/>
      <c r="L2" s="163"/>
      <c r="N2" s="161" t="s">
        <v>1551</v>
      </c>
      <c r="O2" s="162" t="s">
        <v>1552</v>
      </c>
    </row>
    <row r="3" spans="1:15" ht="31.5" customHeight="1" x14ac:dyDescent="0.25">
      <c r="A3" s="154" t="s">
        <v>1533</v>
      </c>
      <c r="B3" s="155"/>
      <c r="H3" s="164" t="s">
        <v>1553</v>
      </c>
      <c r="I3" s="164"/>
      <c r="J3" s="164"/>
      <c r="N3" s="157" t="s">
        <v>1427</v>
      </c>
    </row>
    <row r="4" spans="1:15" ht="31.5" customHeight="1" x14ac:dyDescent="0.25">
      <c r="A4" s="154" t="s">
        <v>1534</v>
      </c>
      <c r="B4" s="155"/>
      <c r="H4" s="164" t="s">
        <v>1554</v>
      </c>
      <c r="I4" s="164"/>
      <c r="J4" s="164"/>
      <c r="N4" s="157" t="s">
        <v>1372</v>
      </c>
    </row>
    <row r="5" spans="1:15" ht="31.5" customHeight="1" x14ac:dyDescent="0.25">
      <c r="A5" s="154" t="s">
        <v>1535</v>
      </c>
      <c r="B5" s="155"/>
      <c r="H5" s="164" t="s">
        <v>1555</v>
      </c>
      <c r="I5" s="164"/>
      <c r="J5" s="164"/>
      <c r="N5" s="157" t="s">
        <v>1430</v>
      </c>
    </row>
    <row r="6" spans="1:15" ht="31.5" customHeight="1" x14ac:dyDescent="0.25">
      <c r="A6" s="154" t="s">
        <v>1536</v>
      </c>
      <c r="B6" s="155"/>
      <c r="H6" s="164" t="s">
        <v>1556</v>
      </c>
      <c r="I6" s="164"/>
      <c r="J6" s="164"/>
      <c r="N6" s="157" t="s">
        <v>1373</v>
      </c>
    </row>
    <row r="7" spans="1:15" ht="31.5" customHeight="1" x14ac:dyDescent="0.25">
      <c r="A7" s="154" t="s">
        <v>1537</v>
      </c>
      <c r="B7" s="155"/>
      <c r="N7" s="157" t="s">
        <v>1374</v>
      </c>
    </row>
    <row r="8" spans="1:15" ht="31.5" customHeight="1" x14ac:dyDescent="0.25">
      <c r="A8" s="154" t="s">
        <v>1538</v>
      </c>
      <c r="B8" s="155"/>
      <c r="N8" s="157" t="s">
        <v>1434</v>
      </c>
    </row>
    <row r="9" spans="1:15" ht="31.5" customHeight="1" x14ac:dyDescent="0.25">
      <c r="A9" s="154" t="s">
        <v>1542</v>
      </c>
      <c r="B9" s="155"/>
      <c r="N9" s="157" t="s">
        <v>1521</v>
      </c>
    </row>
    <row r="10" spans="1:15" ht="31.5" customHeight="1" x14ac:dyDescent="0.25">
      <c r="A10" s="154" t="s">
        <v>1541</v>
      </c>
      <c r="B10" s="155"/>
      <c r="D10" s="158" t="s">
        <v>1550</v>
      </c>
      <c r="E10" s="158"/>
      <c r="F10" s="158"/>
      <c r="G10" s="158"/>
      <c r="N10" s="157" t="s">
        <v>1520</v>
      </c>
    </row>
    <row r="11" spans="1:15" ht="31.5" customHeight="1" x14ac:dyDescent="0.25">
      <c r="A11" s="154" t="s">
        <v>1547</v>
      </c>
      <c r="B11" s="155"/>
      <c r="N11" s="157" t="s">
        <v>1375</v>
      </c>
    </row>
    <row r="12" spans="1:15" ht="31.5" customHeight="1" x14ac:dyDescent="0.25">
      <c r="A12" s="154" t="s">
        <v>1543</v>
      </c>
      <c r="B12" s="155"/>
    </row>
    <row r="13" spans="1:15" ht="31.5" customHeight="1" x14ac:dyDescent="0.25">
      <c r="A13" s="154" t="s">
        <v>1544</v>
      </c>
      <c r="B13" s="155"/>
    </row>
    <row r="14" spans="1:15" ht="31.5" customHeight="1" x14ac:dyDescent="0.25">
      <c r="A14" s="154" t="s">
        <v>1545</v>
      </c>
      <c r="B14" s="155"/>
    </row>
    <row r="15" spans="1:15" ht="31.5" customHeight="1" x14ac:dyDescent="0.25">
      <c r="A15" s="154" t="s">
        <v>1546</v>
      </c>
      <c r="B15" s="155"/>
    </row>
    <row r="16" spans="1:15" ht="31.5" customHeight="1" x14ac:dyDescent="0.25"/>
    <row r="17" s="156" customFormat="1" ht="28.5" customHeight="1" x14ac:dyDescent="0.25"/>
    <row r="18" s="156" customFormat="1" ht="28.5" customHeight="1" x14ac:dyDescent="0.25"/>
    <row r="19" s="156" customFormat="1" ht="28.5" customHeight="1" x14ac:dyDescent="0.25"/>
    <row r="20" s="156" customFormat="1" ht="28.5" customHeight="1" x14ac:dyDescent="0.25"/>
    <row r="21" s="156" customFormat="1" ht="28.5" customHeight="1" x14ac:dyDescent="0.25"/>
    <row r="22" s="156" customFormat="1" ht="28.5" customHeight="1" x14ac:dyDescent="0.25"/>
    <row r="23" s="156" customFormat="1" ht="28.5" customHeight="1" x14ac:dyDescent="0.25"/>
    <row r="24" s="156" customFormat="1" ht="28.5" customHeight="1" x14ac:dyDescent="0.25"/>
    <row r="25" s="156" customFormat="1" ht="28.5" customHeight="1" x14ac:dyDescent="0.25"/>
    <row r="26" s="156" customFormat="1" ht="28.5" customHeight="1" x14ac:dyDescent="0.25"/>
    <row r="27" s="156" customFormat="1" ht="28.5" customHeight="1" x14ac:dyDescent="0.25"/>
    <row r="28" s="156" customFormat="1" ht="28.5" customHeight="1" x14ac:dyDescent="0.25"/>
    <row r="29" s="156" customFormat="1" ht="28.5" customHeight="1" x14ac:dyDescent="0.25"/>
    <row r="30" s="156" customFormat="1" ht="28.5" customHeight="1" x14ac:dyDescent="0.25"/>
    <row r="31" s="156" customFormat="1" ht="28.5" customHeight="1" x14ac:dyDescent="0.25"/>
    <row r="32" s="156" customFormat="1" ht="28.5" customHeight="1" x14ac:dyDescent="0.25"/>
    <row r="33" s="156" customFormat="1" ht="28.5" customHeight="1" x14ac:dyDescent="0.25"/>
    <row r="34" s="156" customFormat="1" ht="28.5" customHeight="1" x14ac:dyDescent="0.25"/>
    <row r="35" s="156" customFormat="1" ht="28.5" customHeight="1" x14ac:dyDescent="0.25"/>
    <row r="36" s="156" customFormat="1" ht="28.5" customHeight="1" x14ac:dyDescent="0.25"/>
    <row r="37" s="156" customFormat="1" ht="28.5" customHeight="1" x14ac:dyDescent="0.25"/>
    <row r="38" s="156" customFormat="1" ht="28.5" customHeight="1" x14ac:dyDescent="0.25"/>
    <row r="39" s="156" customFormat="1" ht="28.5" customHeight="1" x14ac:dyDescent="0.25"/>
  </sheetData>
  <sheetProtection algorithmName="SHA-512" hashValue="68hvxHbV1JersAdONnKt2Gh0n1CO53x5TFPtEkinTfPFnJWmcY1edXhtuBmxwT18btsNwacxnHni8qbc4pok4Q==" saltValue="YHW4YZNEX+ndlhCG0XjPTw==" spinCount="100000" sheet="1" objects="1" scenarios="1"/>
  <protectedRanges>
    <protectedRange algorithmName="SHA-512" hashValue="BP+zvBSfnpkSjL0JtyIogdGNVIPpG99qyyb25vuP1pIREaiFdMMDx6ZQeM4zfgekrpq4B9TMwHTFqMNg1mJEcg==" saltValue="R9UAv7h1eeE7svm6mkvOtA==" spinCount="100000" sqref="N3:N11" name="Range1"/>
  </protectedRanges>
  <mergeCells count="7">
    <mergeCell ref="A1:B1"/>
    <mergeCell ref="D10:G10"/>
    <mergeCell ref="F1:L2"/>
    <mergeCell ref="H3:J3"/>
    <mergeCell ref="H4:J4"/>
    <mergeCell ref="H5:J5"/>
    <mergeCell ref="H6:J6"/>
  </mergeCells>
  <conditionalFormatting sqref="N3:N11">
    <cfRule type="notContainsBlanks" dxfId="10" priority="1">
      <formula>LEN(TRIM(N3))&gt;0</formula>
    </cfRule>
  </conditionalFormatting>
  <hyperlinks>
    <hyperlink ref="H3:J3" location="'Student_Record 1'!A1" display="Student_Record 1" xr:uid="{7D9B4D22-1A9C-4DE5-AA28-EA72521988F7}"/>
    <hyperlink ref="H4:J4" location="STUDENTDATA!A1" display="STUDENTDATA" xr:uid="{AE5EB35C-CB95-4C6C-9BC4-654CF1351008}"/>
    <hyperlink ref="H5:J5" location="LIFAFA_5!A1" display="LIFAFA_5" xr:uid="{19B6A49B-D8ED-4F22-8181-5C26B4819931}"/>
    <hyperlink ref="H6:J6" location="LIFAFA_1!A1" display="LIFAFA_1" xr:uid="{05091A5A-9100-443A-8697-6382161495F4}"/>
  </hyperlink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B2E0C2-B64E-4514-A12A-1721E147782C}">
  <sheetPr codeName="Sheet3">
    <pageSetUpPr autoPageBreaks="0"/>
  </sheetPr>
  <dimension ref="A1:Z1425"/>
  <sheetViews>
    <sheetView showRowColHeaders="0" zoomScale="90" zoomScaleNormal="90" workbookViewId="0">
      <pane xSplit="3" ySplit="1" topLeftCell="D286" activePane="bottomRight" state="frozen"/>
      <selection pane="topRight" activeCell="D1" sqref="D1"/>
      <selection pane="bottomLeft" activeCell="A2" sqref="A2"/>
      <selection pane="bottomRight" activeCell="J292" sqref="J292"/>
    </sheetView>
  </sheetViews>
  <sheetFormatPr defaultRowHeight="18" x14ac:dyDescent="0.25"/>
  <cols>
    <col min="1" max="1" width="6.7109375" style="7" bestFit="1" customWidth="1"/>
    <col min="2" max="2" width="7.7109375" style="7" bestFit="1" customWidth="1"/>
    <col min="3" max="3" width="28" style="7" bestFit="1" customWidth="1"/>
    <col min="4" max="4" width="27.5703125" style="7" bestFit="1" customWidth="1"/>
    <col min="5" max="5" width="9.7109375" style="7" bestFit="1" customWidth="1"/>
    <col min="6" max="6" width="11.42578125" style="7" bestFit="1" customWidth="1"/>
    <col min="7" max="7" width="10.85546875" style="10" bestFit="1" customWidth="1"/>
    <col min="8" max="8" width="9.140625" style="6"/>
    <col min="9" max="13" width="10.85546875" style="10" bestFit="1" customWidth="1"/>
    <col min="14" max="14" width="22.28515625" style="10" bestFit="1" customWidth="1"/>
    <col min="15" max="15" width="18" style="10" bestFit="1" customWidth="1"/>
    <col min="16" max="16" width="20.7109375" style="10" bestFit="1" customWidth="1"/>
    <col min="17" max="17" width="10.85546875" style="10" bestFit="1" customWidth="1"/>
    <col min="18" max="24" width="9.140625" style="7"/>
    <col min="25" max="25" width="9.140625" style="7" customWidth="1"/>
    <col min="26" max="26" width="10.42578125" style="7" hidden="1" customWidth="1"/>
    <col min="27" max="27" width="9.140625" style="7" customWidth="1"/>
    <col min="28" max="16384" width="9.140625" style="7"/>
  </cols>
  <sheetData>
    <row r="1" spans="1:26" s="5" customFormat="1" ht="42.75" customHeight="1" x14ac:dyDescent="0.25">
      <c r="A1" s="72" t="str" cm="1">
        <f t="array" aca="1" ref="A1" ca="1">IF(INDIRECT("'Student_Record 1'!A" &amp; ROW())="", "", INDIRECT("'Student_Record 1'!A" &amp; ROW()))</f>
        <v>Class</v>
      </c>
      <c r="B1" s="73" t="str" cm="1">
        <f t="array" aca="1" ref="B1" ca="1">IF(INDIRECT("'Student_Record 1'!C" &amp; ROW())="", "", INDIRECT("'Student_Record 1'!C" &amp; ROW()))</f>
        <v>SRNO</v>
      </c>
      <c r="C1" s="72" t="str" cm="1">
        <f t="array" aca="1" ref="C1" ca="1">IF(INDIRECT("'Student_Record 1'!E" &amp; ROW())="", "", INDIRECT("'Student_Record 1'!E" &amp; ROW()))</f>
        <v>Name</v>
      </c>
      <c r="D1" s="72" t="str" cm="1">
        <f t="array" aca="1" ref="D1" ca="1">IF(INDIRECT("'Student_Record 1'!G" &amp; ROW())="", "", INDIRECT("'Student_Record 1'!G" &amp; ROW()))</f>
        <v>FatherName</v>
      </c>
      <c r="E1" s="72" t="str" cm="1">
        <f t="array" aca="1" ref="E1" ca="1">IF(INDIRECT("'Student_Record 1'!I" &amp; ROW())="", "", INDIRECT("'Student_Record 1'!I" &amp; ROW()))</f>
        <v>Gender</v>
      </c>
      <c r="F1" s="72" t="str" cm="1">
        <f t="array" aca="1" ref="F1" ca="1">IF(INDIRECT("'Student_Record 1'!O" &amp; ROW())="", "", INDIRECT("'Student_Record 1'!O" &amp; ROW()))</f>
        <v>Category</v>
      </c>
      <c r="G1" s="71" t="s">
        <v>1519</v>
      </c>
      <c r="H1" s="4"/>
      <c r="I1" s="71" t="str">
        <f>'लिफाफा प्रिन्ट'!$N3</f>
        <v>हिन्दी</v>
      </c>
      <c r="J1" s="71" t="str">
        <f>'लिफाफा प्रिन्ट'!$N4</f>
        <v xml:space="preserve">अंग्रेजी </v>
      </c>
      <c r="K1" s="71" t="str">
        <f>'लिफाफा प्रिन्ट'!$N5</f>
        <v>गणित</v>
      </c>
      <c r="L1" s="71" t="str">
        <f>'लिफाफा प्रिन्ट'!$N6</f>
        <v xml:space="preserve">विज्ञान </v>
      </c>
      <c r="M1" s="71" t="str">
        <f>'लिफाफा प्रिन्ट'!$N7</f>
        <v xml:space="preserve">संस्कृत </v>
      </c>
      <c r="N1" s="71" t="str">
        <f>'लिफाफा प्रिन्ट'!$N8</f>
        <v>सामाजिक विज्ञान</v>
      </c>
      <c r="O1" s="71" t="str">
        <f>'लिफाफा प्रिन्ट'!$N9</f>
        <v xml:space="preserve">हिन्दी साहित्य </v>
      </c>
      <c r="P1" s="71" t="str">
        <f>'लिफाफा प्रिन्ट'!$N10</f>
        <v xml:space="preserve">राजनीति विज्ञान </v>
      </c>
      <c r="Q1" s="71" t="str">
        <f>'लिफाफा प्रिन्ट'!$N11</f>
        <v>भूगोल</v>
      </c>
      <c r="R1" s="77"/>
      <c r="S1" s="77"/>
      <c r="T1" s="77"/>
      <c r="U1" s="77"/>
    </row>
    <row r="2" spans="1:26" x14ac:dyDescent="0.25">
      <c r="A2" s="8" cm="1">
        <f t="array" aca="1" ref="A2" ca="1">IF(INDIRECT("'Student_Record 1'!A" &amp; ROW())="", "", INDIRECT("'Student_Record 1'!A" &amp; ROW()))</f>
        <v>1</v>
      </c>
      <c r="B2" s="8" cm="1">
        <f t="array" aca="1" ref="B2" ca="1">IF(INDIRECT("'Student_Record 1'!C" &amp; ROW())="", "", INDIRECT("'Student_Record 1'!C" &amp; ROW()))</f>
        <v>907</v>
      </c>
      <c r="C2" s="8" t="str" cm="1">
        <f t="array" aca="1" ref="C2" ca="1">IF(INDIRECT("'Student_Record 1'!E" &amp; ROW())="", "", INDIRECT("'Student_Record 1'!E" &amp; ROW()))</f>
        <v>Aarushi</v>
      </c>
      <c r="D2" s="8" t="str" cm="1">
        <f t="array" aca="1" ref="D2" ca="1">IF(INDIRECT("'Student_Record 1'!G" &amp; ROW())="", "", INDIRECT("'Student_Record 1'!G" &amp; ROW()))</f>
        <v>Satyanarayan Jat</v>
      </c>
      <c r="E2" s="8" t="str" cm="1">
        <f t="array" aca="1" ref="E2" ca="1">IF(INDIRECT("'Student_Record 1'!I" &amp; ROW())="", "", INDIRECT("'Student_Record 1'!I" &amp; ROW()))</f>
        <v>F</v>
      </c>
      <c r="F2" s="8" t="str" cm="1">
        <f t="array" aca="1" ref="F2" ca="1">IF(INDIRECT("'Student_Record 1'!O" &amp; ROW())="", "", INDIRECT("'Student_Record 1'!O" &amp; ROW()))</f>
        <v>OBC</v>
      </c>
      <c r="G2" s="11"/>
      <c r="I2" s="11"/>
      <c r="J2" s="11"/>
      <c r="K2" s="11"/>
      <c r="L2" s="11"/>
      <c r="M2" s="11"/>
      <c r="N2" s="11"/>
      <c r="O2" s="11"/>
      <c r="P2" s="11"/>
      <c r="Q2" s="11"/>
      <c r="Z2" s="7" t="s">
        <v>49</v>
      </c>
    </row>
    <row r="3" spans="1:26" x14ac:dyDescent="0.25">
      <c r="A3" s="8" cm="1">
        <f t="array" aca="1" ref="A3" ca="1">IF(INDIRECT("'Student_Record 1'!A" &amp; ROW())="", "", INDIRECT("'Student_Record 1'!A" &amp; ROW()))</f>
        <v>1</v>
      </c>
      <c r="B3" s="8" cm="1">
        <f t="array" aca="1" ref="B3" ca="1">IF(INDIRECT("'Student_Record 1'!C" &amp; ROW())="", "", INDIRECT("'Student_Record 1'!C" &amp; ROW()))</f>
        <v>920</v>
      </c>
      <c r="C3" s="8" t="str" cm="1">
        <f t="array" aca="1" ref="C3" ca="1">IF(INDIRECT("'Student_Record 1'!E" &amp; ROW())="", "", INDIRECT("'Student_Record 1'!E" &amp; ROW()))</f>
        <v>Anjali Meghwanshi</v>
      </c>
      <c r="D3" s="8" t="str" cm="1">
        <f t="array" aca="1" ref="D3" ca="1">IF(INDIRECT("'Student_Record 1'!G" &amp; ROW())="", "", INDIRECT("'Student_Record 1'!G" &amp; ROW()))</f>
        <v>Shankar</v>
      </c>
      <c r="E3" s="8" t="str" cm="1">
        <f t="array" aca="1" ref="E3" ca="1">IF(INDIRECT("'Student_Record 1'!I" &amp; ROW())="", "", INDIRECT("'Student_Record 1'!I" &amp; ROW()))</f>
        <v>F</v>
      </c>
      <c r="F3" s="8" t="str" cm="1">
        <f t="array" aca="1" ref="F3" ca="1">IF(INDIRECT("'Student_Record 1'!O" &amp; ROW())="", "", INDIRECT("'Student_Record 1'!O" &amp; ROW()))</f>
        <v>SC</v>
      </c>
      <c r="G3" s="11"/>
      <c r="I3" s="11"/>
      <c r="J3" s="11"/>
      <c r="K3" s="11"/>
      <c r="L3" s="11"/>
      <c r="M3" s="11"/>
      <c r="N3" s="11"/>
      <c r="O3" s="11"/>
      <c r="P3" s="11"/>
      <c r="Q3" s="11"/>
      <c r="Z3" s="7" t="s">
        <v>10</v>
      </c>
    </row>
    <row r="4" spans="1:26" x14ac:dyDescent="0.25">
      <c r="A4" s="8" cm="1">
        <f t="array" aca="1" ref="A4" ca="1">IF(INDIRECT("'Student_Record 1'!A" &amp; ROW())="", "", INDIRECT("'Student_Record 1'!A" &amp; ROW()))</f>
        <v>1</v>
      </c>
      <c r="B4" s="8" cm="1">
        <f t="array" aca="1" ref="B4" ca="1">IF(INDIRECT("'Student_Record 1'!C" &amp; ROW())="", "", INDIRECT("'Student_Record 1'!C" &amp; ROW()))</f>
        <v>906</v>
      </c>
      <c r="C4" s="8" t="str" cm="1">
        <f t="array" aca="1" ref="C4" ca="1">IF(INDIRECT("'Student_Record 1'!E" &amp; ROW())="", "", INDIRECT("'Student_Record 1'!E" &amp; ROW()))</f>
        <v>Annu Jat</v>
      </c>
      <c r="D4" s="8" t="str" cm="1">
        <f t="array" aca="1" ref="D4" ca="1">IF(INDIRECT("'Student_Record 1'!G" &amp; ROW())="", "", INDIRECT("'Student_Record 1'!G" &amp; ROW()))</f>
        <v>Ramswaroop</v>
      </c>
      <c r="E4" s="8" t="str" cm="1">
        <f t="array" aca="1" ref="E4" ca="1">IF(INDIRECT("'Student_Record 1'!I" &amp; ROW())="", "", INDIRECT("'Student_Record 1'!I" &amp; ROW()))</f>
        <v>F</v>
      </c>
      <c r="F4" s="8" t="str" cm="1">
        <f t="array" aca="1" ref="F4" ca="1">IF(INDIRECT("'Student_Record 1'!O" &amp; ROW())="", "", INDIRECT("'Student_Record 1'!O" &amp; ROW()))</f>
        <v>OBC</v>
      </c>
      <c r="G4" s="11"/>
      <c r="I4" s="11"/>
      <c r="J4" s="11"/>
      <c r="K4" s="11"/>
      <c r="L4" s="11"/>
      <c r="M4" s="11"/>
      <c r="N4" s="11"/>
      <c r="O4" s="11"/>
      <c r="P4" s="11"/>
      <c r="Q4" s="11"/>
      <c r="Z4" s="7" t="s">
        <v>1376</v>
      </c>
    </row>
    <row r="5" spans="1:26" x14ac:dyDescent="0.25">
      <c r="A5" s="8" cm="1">
        <f t="array" aca="1" ref="A5" ca="1">IF(INDIRECT("'Student_Record 1'!A" &amp; ROW())="", "", INDIRECT("'Student_Record 1'!A" &amp; ROW()))</f>
        <v>1</v>
      </c>
      <c r="B5" s="8" cm="1">
        <f t="array" aca="1" ref="B5" ca="1">IF(INDIRECT("'Student_Record 1'!C" &amp; ROW())="", "", INDIRECT("'Student_Record 1'!C" &amp; ROW()))</f>
        <v>901</v>
      </c>
      <c r="C5" s="8" t="str" cm="1">
        <f t="array" aca="1" ref="C5" ca="1">IF(INDIRECT("'Student_Record 1'!E" &amp; ROW())="", "", INDIRECT("'Student_Record 1'!E" &amp; ROW()))</f>
        <v>Bhumika Sain</v>
      </c>
      <c r="D5" s="8" t="str" cm="1">
        <f t="array" aca="1" ref="D5" ca="1">IF(INDIRECT("'Student_Record 1'!G" &amp; ROW())="", "", INDIRECT("'Student_Record 1'!G" &amp; ROW()))</f>
        <v>Rajesh Sain</v>
      </c>
      <c r="E5" s="8" t="str" cm="1">
        <f t="array" aca="1" ref="E5" ca="1">IF(INDIRECT("'Student_Record 1'!I" &amp; ROW())="", "", INDIRECT("'Student_Record 1'!I" &amp; ROW()))</f>
        <v>F</v>
      </c>
      <c r="F5" s="8" t="str" cm="1">
        <f t="array" aca="1" ref="F5" ca="1">IF(INDIRECT("'Student_Record 1'!O" &amp; ROW())="", "", INDIRECT("'Student_Record 1'!O" &amp; ROW()))</f>
        <v>OBC</v>
      </c>
      <c r="G5" s="11"/>
      <c r="I5" s="11"/>
      <c r="J5" s="11"/>
      <c r="K5" s="11"/>
      <c r="L5" s="11"/>
      <c r="M5" s="11"/>
      <c r="N5" s="11"/>
      <c r="O5" s="11"/>
      <c r="P5" s="11"/>
      <c r="Q5" s="11"/>
      <c r="Z5" s="7" t="s">
        <v>1377</v>
      </c>
    </row>
    <row r="6" spans="1:26" x14ac:dyDescent="0.25">
      <c r="A6" s="8" cm="1">
        <f t="array" aca="1" ref="A6" ca="1">IF(INDIRECT("'Student_Record 1'!A" &amp; ROW())="", "", INDIRECT("'Student_Record 1'!A" &amp; ROW()))</f>
        <v>1</v>
      </c>
      <c r="B6" s="8" cm="1">
        <f t="array" aca="1" ref="B6" ca="1">IF(INDIRECT("'Student_Record 1'!C" &amp; ROW())="", "", INDIRECT("'Student_Record 1'!C" &amp; ROW()))</f>
        <v>885</v>
      </c>
      <c r="C6" s="8" t="str" cm="1">
        <f t="array" aca="1" ref="C6" ca="1">IF(INDIRECT("'Student_Record 1'!E" &amp; ROW())="", "", INDIRECT("'Student_Record 1'!E" &amp; ROW()))</f>
        <v>Dinesh Regar</v>
      </c>
      <c r="D6" s="8" t="str" cm="1">
        <f t="array" aca="1" ref="D6" ca="1">IF(INDIRECT("'Student_Record 1'!G" &amp; ROW())="", "", INDIRECT("'Student_Record 1'!G" &amp; ROW()))</f>
        <v>Kalu Ram</v>
      </c>
      <c r="E6" s="8" t="str" cm="1">
        <f t="array" aca="1" ref="E6" ca="1">IF(INDIRECT("'Student_Record 1'!I" &amp; ROW())="", "", INDIRECT("'Student_Record 1'!I" &amp; ROW()))</f>
        <v>M</v>
      </c>
      <c r="F6" s="8" t="str" cm="1">
        <f t="array" aca="1" ref="F6" ca="1">IF(INDIRECT("'Student_Record 1'!O" &amp; ROW())="", "", INDIRECT("'Student_Record 1'!O" &amp; ROW()))</f>
        <v>SC</v>
      </c>
      <c r="G6" s="11"/>
      <c r="I6" s="11"/>
      <c r="J6" s="11"/>
      <c r="K6" s="11"/>
      <c r="L6" s="11"/>
      <c r="M6" s="11"/>
      <c r="N6" s="11"/>
      <c r="O6" s="11"/>
      <c r="P6" s="11"/>
      <c r="Q6" s="11"/>
      <c r="Z6" s="7" t="s">
        <v>1378</v>
      </c>
    </row>
    <row r="7" spans="1:26" x14ac:dyDescent="0.25">
      <c r="A7" s="8" cm="1">
        <f t="array" aca="1" ref="A7" ca="1">IF(INDIRECT("'Student_Record 1'!A" &amp; ROW())="", "", INDIRECT("'Student_Record 1'!A" &amp; ROW()))</f>
        <v>1</v>
      </c>
      <c r="B7" s="8" cm="1">
        <f t="array" aca="1" ref="B7" ca="1">IF(INDIRECT("'Student_Record 1'!C" &amp; ROW())="", "", INDIRECT("'Student_Record 1'!C" &amp; ROW()))</f>
        <v>914</v>
      </c>
      <c r="C7" s="8" t="str" cm="1">
        <f t="array" aca="1" ref="C7" ca="1">IF(INDIRECT("'Student_Record 1'!E" &amp; ROW())="", "", INDIRECT("'Student_Record 1'!E" &amp; ROW()))</f>
        <v>Jagdish Prajapat</v>
      </c>
      <c r="D7" s="8" t="str" cm="1">
        <f t="array" aca="1" ref="D7" ca="1">IF(INDIRECT("'Student_Record 1'!G" &amp; ROW())="", "", INDIRECT("'Student_Record 1'!G" &amp; ROW()))</f>
        <v>Hansraj</v>
      </c>
      <c r="E7" s="8" t="str" cm="1">
        <f t="array" aca="1" ref="E7" ca="1">IF(INDIRECT("'Student_Record 1'!I" &amp; ROW())="", "", INDIRECT("'Student_Record 1'!I" &amp; ROW()))</f>
        <v>M</v>
      </c>
      <c r="F7" s="8" t="str" cm="1">
        <f t="array" aca="1" ref="F7" ca="1">IF(INDIRECT("'Student_Record 1'!O" &amp; ROW())="", "", INDIRECT("'Student_Record 1'!O" &amp; ROW()))</f>
        <v>OBC</v>
      </c>
      <c r="G7" s="11"/>
      <c r="I7" s="11"/>
      <c r="J7" s="11"/>
      <c r="K7" s="11"/>
      <c r="L7" s="11"/>
      <c r="M7" s="11"/>
      <c r="N7" s="11"/>
      <c r="O7" s="11"/>
      <c r="P7" s="11"/>
      <c r="Q7" s="11"/>
      <c r="Z7" s="7" t="s">
        <v>1379</v>
      </c>
    </row>
    <row r="8" spans="1:26" x14ac:dyDescent="0.25">
      <c r="A8" s="8" cm="1">
        <f t="array" aca="1" ref="A8" ca="1">IF(INDIRECT("'Student_Record 1'!A" &amp; ROW())="", "", INDIRECT("'Student_Record 1'!A" &amp; ROW()))</f>
        <v>1</v>
      </c>
      <c r="B8" s="8" cm="1">
        <f t="array" aca="1" ref="B8" ca="1">IF(INDIRECT("'Student_Record 1'!C" &amp; ROW())="", "", INDIRECT("'Student_Record 1'!C" &amp; ROW()))</f>
        <v>877</v>
      </c>
      <c r="C8" s="8" t="str" cm="1">
        <f t="array" aca="1" ref="C8" ca="1">IF(INDIRECT("'Student_Record 1'!E" &amp; ROW())="", "", INDIRECT("'Student_Record 1'!E" &amp; ROW()))</f>
        <v>Khushi</v>
      </c>
      <c r="D8" s="8" t="str" cm="1">
        <f t="array" aca="1" ref="D8" ca="1">IF(INDIRECT("'Student_Record 1'!G" &amp; ROW())="", "", INDIRECT("'Student_Record 1'!G" &amp; ROW()))</f>
        <v>Mukesh</v>
      </c>
      <c r="E8" s="8" t="str" cm="1">
        <f t="array" aca="1" ref="E8" ca="1">IF(INDIRECT("'Student_Record 1'!I" &amp; ROW())="", "", INDIRECT("'Student_Record 1'!I" &amp; ROW()))</f>
        <v>F</v>
      </c>
      <c r="F8" s="8" t="str" cm="1">
        <f t="array" aca="1" ref="F8" ca="1">IF(INDIRECT("'Student_Record 1'!O" &amp; ROW())="", "", INDIRECT("'Student_Record 1'!O" &amp; ROW()))</f>
        <v>OBC</v>
      </c>
      <c r="G8" s="11"/>
      <c r="I8" s="11"/>
      <c r="J8" s="11"/>
      <c r="K8" s="11"/>
      <c r="L8" s="11"/>
      <c r="M8" s="11"/>
      <c r="N8" s="11"/>
      <c r="O8" s="11"/>
      <c r="P8" s="11"/>
      <c r="Q8" s="11"/>
    </row>
    <row r="9" spans="1:26" x14ac:dyDescent="0.25">
      <c r="A9" s="8" cm="1">
        <f t="array" aca="1" ref="A9" ca="1">IF(INDIRECT("'Student_Record 1'!A" &amp; ROW())="", "", INDIRECT("'Student_Record 1'!A" &amp; ROW()))</f>
        <v>1</v>
      </c>
      <c r="B9" s="8" cm="1">
        <f t="array" aca="1" ref="B9" ca="1">IF(INDIRECT("'Student_Record 1'!C" &amp; ROW())="", "", INDIRECT("'Student_Record 1'!C" &amp; ROW()))</f>
        <v>922</v>
      </c>
      <c r="C9" s="8" t="str" cm="1">
        <f t="array" aca="1" ref="C9" ca="1">IF(INDIRECT("'Student_Record 1'!E" &amp; ROW())="", "", INDIRECT("'Student_Record 1'!E" &amp; ROW()))</f>
        <v>Khushi Jat</v>
      </c>
      <c r="D9" s="8" t="str" cm="1">
        <f t="array" aca="1" ref="D9" ca="1">IF(INDIRECT("'Student_Record 1'!G" &amp; ROW())="", "", INDIRECT("'Student_Record 1'!G" &amp; ROW()))</f>
        <v>Parmeshwar</v>
      </c>
      <c r="E9" s="8" t="str" cm="1">
        <f t="array" aca="1" ref="E9" ca="1">IF(INDIRECT("'Student_Record 1'!I" &amp; ROW())="", "", INDIRECT("'Student_Record 1'!I" &amp; ROW()))</f>
        <v>F</v>
      </c>
      <c r="F9" s="8" t="str" cm="1">
        <f t="array" aca="1" ref="F9" ca="1">IF(INDIRECT("'Student_Record 1'!O" &amp; ROW())="", "", INDIRECT("'Student_Record 1'!O" &amp; ROW()))</f>
        <v>OBC</v>
      </c>
      <c r="G9" s="11"/>
      <c r="I9" s="11"/>
      <c r="J9" s="11"/>
      <c r="K9" s="11"/>
      <c r="L9" s="11"/>
      <c r="M9" s="11"/>
      <c r="N9" s="11"/>
      <c r="O9" s="11"/>
      <c r="P9" s="11"/>
      <c r="Q9" s="11"/>
    </row>
    <row r="10" spans="1:26" x14ac:dyDescent="0.25">
      <c r="A10" s="8" cm="1">
        <f t="array" aca="1" ref="A10" ca="1">IF(INDIRECT("'Student_Record 1'!A" &amp; ROW())="", "", INDIRECT("'Student_Record 1'!A" &amp; ROW()))</f>
        <v>1</v>
      </c>
      <c r="B10" s="8" cm="1">
        <f t="array" aca="1" ref="B10" ca="1">IF(INDIRECT("'Student_Record 1'!C" &amp; ROW())="", "", INDIRECT("'Student_Record 1'!C" &amp; ROW()))</f>
        <v>921</v>
      </c>
      <c r="C10" s="8" t="str" cm="1">
        <f t="array" aca="1" ref="C10" ca="1">IF(INDIRECT("'Student_Record 1'!E" &amp; ROW())="", "", INDIRECT("'Student_Record 1'!E" &amp; ROW()))</f>
        <v>Lokesh Prajapat</v>
      </c>
      <c r="D10" s="8" t="str" cm="1">
        <f t="array" aca="1" ref="D10" ca="1">IF(INDIRECT("'Student_Record 1'!G" &amp; ROW())="", "", INDIRECT("'Student_Record 1'!G" &amp; ROW()))</f>
        <v>Hardayal</v>
      </c>
      <c r="E10" s="8" t="str" cm="1">
        <f t="array" aca="1" ref="E10" ca="1">IF(INDIRECT("'Student_Record 1'!I" &amp; ROW())="", "", INDIRECT("'Student_Record 1'!I" &amp; ROW()))</f>
        <v>M</v>
      </c>
      <c r="F10" s="8" t="str" cm="1">
        <f t="array" aca="1" ref="F10" ca="1">IF(INDIRECT("'Student_Record 1'!O" &amp; ROW())="", "", INDIRECT("'Student_Record 1'!O" &amp; ROW()))</f>
        <v>OBC</v>
      </c>
      <c r="G10" s="11"/>
      <c r="I10" s="11"/>
      <c r="J10" s="11"/>
      <c r="K10" s="11"/>
      <c r="L10" s="11"/>
      <c r="M10" s="11"/>
      <c r="N10" s="11"/>
      <c r="O10" s="11"/>
      <c r="P10" s="11"/>
      <c r="Q10" s="11"/>
      <c r="Z10" s="7" t="s">
        <v>14</v>
      </c>
    </row>
    <row r="11" spans="1:26" x14ac:dyDescent="0.25">
      <c r="A11" s="8" cm="1">
        <f t="array" aca="1" ref="A11" ca="1">IF(INDIRECT("'Student_Record 1'!A" &amp; ROW())="", "", INDIRECT("'Student_Record 1'!A" &amp; ROW()))</f>
        <v>1</v>
      </c>
      <c r="B11" s="8" cm="1">
        <f t="array" aca="1" ref="B11" ca="1">IF(INDIRECT("'Student_Record 1'!C" &amp; ROW())="", "", INDIRECT("'Student_Record 1'!C" &amp; ROW()))</f>
        <v>878</v>
      </c>
      <c r="C11" s="8" t="str" cm="1">
        <f t="array" aca="1" ref="C11" ca="1">IF(INDIRECT("'Student_Record 1'!E" &amp; ROW())="", "", INDIRECT("'Student_Record 1'!E" &amp; ROW()))</f>
        <v>Mansha Jat</v>
      </c>
      <c r="D11" s="8" t="str" cm="1">
        <f t="array" aca="1" ref="D11" ca="1">IF(INDIRECT("'Student_Record 1'!G" &amp; ROW())="", "", INDIRECT("'Student_Record 1'!G" &amp; ROW()))</f>
        <v>Prem Chand Jat</v>
      </c>
      <c r="E11" s="8" t="str" cm="1">
        <f t="array" aca="1" ref="E11" ca="1">IF(INDIRECT("'Student_Record 1'!I" &amp; ROW())="", "", INDIRECT("'Student_Record 1'!I" &amp; ROW()))</f>
        <v>F</v>
      </c>
      <c r="F11" s="8" t="str" cm="1">
        <f t="array" aca="1" ref="F11" ca="1">IF(INDIRECT("'Student_Record 1'!O" &amp; ROW())="", "", INDIRECT("'Student_Record 1'!O" &amp; ROW()))</f>
        <v>OBC</v>
      </c>
      <c r="G11" s="11"/>
      <c r="I11" s="11"/>
      <c r="J11" s="11"/>
      <c r="K11" s="11"/>
      <c r="L11" s="11"/>
      <c r="M11" s="11"/>
      <c r="N11" s="11"/>
      <c r="O11" s="11"/>
      <c r="P11" s="11"/>
      <c r="Q11" s="11"/>
      <c r="Z11" s="7" t="s">
        <v>15</v>
      </c>
    </row>
    <row r="12" spans="1:26" x14ac:dyDescent="0.25">
      <c r="A12" s="8" cm="1">
        <f t="array" aca="1" ref="A12" ca="1">IF(INDIRECT("'Student_Record 1'!A" &amp; ROW())="", "", INDIRECT("'Student_Record 1'!A" &amp; ROW()))</f>
        <v>1</v>
      </c>
      <c r="B12" s="8" cm="1">
        <f t="array" aca="1" ref="B12" ca="1">IF(INDIRECT("'Student_Record 1'!C" &amp; ROW())="", "", INDIRECT("'Student_Record 1'!C" &amp; ROW()))</f>
        <v>875</v>
      </c>
      <c r="C12" s="8" t="str" cm="1">
        <f t="array" aca="1" ref="C12" ca="1">IF(INDIRECT("'Student_Record 1'!E" &amp; ROW())="", "", INDIRECT("'Student_Record 1'!E" &amp; ROW()))</f>
        <v>Mona</v>
      </c>
      <c r="D12" s="8" t="str" cm="1">
        <f t="array" aca="1" ref="D12" ca="1">IF(INDIRECT("'Student_Record 1'!G" &amp; ROW())="", "", INDIRECT("'Student_Record 1'!G" &amp; ROW()))</f>
        <v>Ramesh Chand</v>
      </c>
      <c r="E12" s="8" t="str" cm="1">
        <f t="array" aca="1" ref="E12" ca="1">IF(INDIRECT("'Student_Record 1'!I" &amp; ROW())="", "", INDIRECT("'Student_Record 1'!I" &amp; ROW()))</f>
        <v>F</v>
      </c>
      <c r="F12" s="8" t="str" cm="1">
        <f t="array" aca="1" ref="F12" ca="1">IF(INDIRECT("'Student_Record 1'!O" &amp; ROW())="", "", INDIRECT("'Student_Record 1'!O" &amp; ROW()))</f>
        <v>SC</v>
      </c>
      <c r="G12" s="11"/>
      <c r="I12" s="11"/>
      <c r="J12" s="11"/>
      <c r="K12" s="11"/>
      <c r="L12" s="11"/>
      <c r="M12" s="11"/>
      <c r="N12" s="11"/>
      <c r="O12" s="11"/>
      <c r="P12" s="11"/>
      <c r="Q12" s="11"/>
      <c r="Z12" s="7" t="s">
        <v>16</v>
      </c>
    </row>
    <row r="13" spans="1:26" x14ac:dyDescent="0.25">
      <c r="A13" s="8" cm="1">
        <f t="array" aca="1" ref="A13" ca="1">IF(INDIRECT("'Student_Record 1'!A" &amp; ROW())="", "", INDIRECT("'Student_Record 1'!A" &amp; ROW()))</f>
        <v>1</v>
      </c>
      <c r="B13" s="8" cm="1">
        <f t="array" aca="1" ref="B13" ca="1">IF(INDIRECT("'Student_Record 1'!C" &amp; ROW())="", "", INDIRECT("'Student_Record 1'!C" &amp; ROW()))</f>
        <v>884</v>
      </c>
      <c r="C13" s="8" t="str" cm="1">
        <f t="array" aca="1" ref="C13" ca="1">IF(INDIRECT("'Student_Record 1'!E" &amp; ROW())="", "", INDIRECT("'Student_Record 1'!E" &amp; ROW()))</f>
        <v>Monika Prajapat</v>
      </c>
      <c r="D13" s="8" t="str" cm="1">
        <f t="array" aca="1" ref="D13" ca="1">IF(INDIRECT("'Student_Record 1'!G" &amp; ROW())="", "", INDIRECT("'Student_Record 1'!G" &amp; ROW()))</f>
        <v>Prakash</v>
      </c>
      <c r="E13" s="8" t="str" cm="1">
        <f t="array" aca="1" ref="E13" ca="1">IF(INDIRECT("'Student_Record 1'!I" &amp; ROW())="", "", INDIRECT("'Student_Record 1'!I" &amp; ROW()))</f>
        <v>F</v>
      </c>
      <c r="F13" s="8" t="str" cm="1">
        <f t="array" aca="1" ref="F13" ca="1">IF(INDIRECT("'Student_Record 1'!O" &amp; ROW())="", "", INDIRECT("'Student_Record 1'!O" &amp; ROW()))</f>
        <v>OBC</v>
      </c>
      <c r="G13" s="11"/>
      <c r="I13" s="11"/>
      <c r="J13" s="11"/>
      <c r="K13" s="11"/>
      <c r="L13" s="11"/>
      <c r="M13" s="11"/>
      <c r="N13" s="11"/>
      <c r="O13" s="11"/>
      <c r="P13" s="11"/>
      <c r="Q13" s="11"/>
      <c r="Z13" s="7" t="s">
        <v>1379</v>
      </c>
    </row>
    <row r="14" spans="1:26" x14ac:dyDescent="0.25">
      <c r="A14" s="8" cm="1">
        <f t="array" aca="1" ref="A14" ca="1">IF(INDIRECT("'Student_Record 1'!A" &amp; ROW())="", "", INDIRECT("'Student_Record 1'!A" &amp; ROW()))</f>
        <v>1</v>
      </c>
      <c r="B14" s="8" cm="1">
        <f t="array" aca="1" ref="B14" ca="1">IF(INDIRECT("'Student_Record 1'!C" &amp; ROW())="", "", INDIRECT("'Student_Record 1'!C" &amp; ROW()))</f>
        <v>879</v>
      </c>
      <c r="C14" s="8" t="str" cm="1">
        <f t="array" aca="1" ref="C14" ca="1">IF(INDIRECT("'Student_Record 1'!E" &amp; ROW())="", "", INDIRECT("'Student_Record 1'!E" &amp; ROW()))</f>
        <v>Pooja Jat</v>
      </c>
      <c r="D14" s="8" t="str" cm="1">
        <f t="array" aca="1" ref="D14" ca="1">IF(INDIRECT("'Student_Record 1'!G" &amp; ROW())="", "", INDIRECT("'Student_Record 1'!G" &amp; ROW()))</f>
        <v>Shankar</v>
      </c>
      <c r="E14" s="8" t="str" cm="1">
        <f t="array" aca="1" ref="E14" ca="1">IF(INDIRECT("'Student_Record 1'!I" &amp; ROW())="", "", INDIRECT("'Student_Record 1'!I" &amp; ROW()))</f>
        <v>F</v>
      </c>
      <c r="F14" s="8" t="str" cm="1">
        <f t="array" aca="1" ref="F14" ca="1">IF(INDIRECT("'Student_Record 1'!O" &amp; ROW())="", "", INDIRECT("'Student_Record 1'!O" &amp; ROW()))</f>
        <v>OBC</v>
      </c>
      <c r="G14" s="11"/>
      <c r="I14" s="11"/>
      <c r="J14" s="11"/>
      <c r="K14" s="11"/>
      <c r="L14" s="11"/>
      <c r="M14" s="11"/>
      <c r="N14" s="11"/>
      <c r="O14" s="11"/>
      <c r="P14" s="11"/>
      <c r="Q14" s="11"/>
      <c r="Z14" s="7" t="s">
        <v>1380</v>
      </c>
    </row>
    <row r="15" spans="1:26" x14ac:dyDescent="0.25">
      <c r="A15" s="8" cm="1">
        <f t="array" aca="1" ref="A15" ca="1">IF(INDIRECT("'Student_Record 1'!A" &amp; ROW())="", "", INDIRECT("'Student_Record 1'!A" &amp; ROW()))</f>
        <v>1</v>
      </c>
      <c r="B15" s="8" cm="1">
        <f t="array" aca="1" ref="B15" ca="1">IF(INDIRECT("'Student_Record 1'!C" &amp; ROW())="", "", INDIRECT("'Student_Record 1'!C" &amp; ROW()))</f>
        <v>880</v>
      </c>
      <c r="C15" s="8" t="str" cm="1">
        <f t="array" aca="1" ref="C15" ca="1">IF(INDIRECT("'Student_Record 1'!E" &amp; ROW())="", "", INDIRECT("'Student_Record 1'!E" &amp; ROW()))</f>
        <v>Priya Jat</v>
      </c>
      <c r="D15" s="8" t="str" cm="1">
        <f t="array" aca="1" ref="D15" ca="1">IF(INDIRECT("'Student_Record 1'!G" &amp; ROW())="", "", INDIRECT("'Student_Record 1'!G" &amp; ROW()))</f>
        <v>Ganesh</v>
      </c>
      <c r="E15" s="8" t="str" cm="1">
        <f t="array" aca="1" ref="E15" ca="1">IF(INDIRECT("'Student_Record 1'!I" &amp; ROW())="", "", INDIRECT("'Student_Record 1'!I" &amp; ROW()))</f>
        <v>F</v>
      </c>
      <c r="F15" s="8" t="str" cm="1">
        <f t="array" aca="1" ref="F15" ca="1">IF(INDIRECT("'Student_Record 1'!O" &amp; ROW())="", "", INDIRECT("'Student_Record 1'!O" &amp; ROW()))</f>
        <v>OBC</v>
      </c>
      <c r="G15" s="11"/>
      <c r="I15" s="11"/>
      <c r="J15" s="11"/>
      <c r="K15" s="11"/>
      <c r="L15" s="11"/>
      <c r="M15" s="11"/>
      <c r="N15" s="11"/>
      <c r="O15" s="11"/>
      <c r="P15" s="11"/>
      <c r="Q15" s="11"/>
    </row>
    <row r="16" spans="1:26" x14ac:dyDescent="0.25">
      <c r="A16" s="8" cm="1">
        <f t="array" aca="1" ref="A16" ca="1">IF(INDIRECT("'Student_Record 1'!A" &amp; ROW())="", "", INDIRECT("'Student_Record 1'!A" &amp; ROW()))</f>
        <v>1</v>
      </c>
      <c r="B16" s="8" cm="1">
        <f t="array" aca="1" ref="B16" ca="1">IF(INDIRECT("'Student_Record 1'!C" &amp; ROW())="", "", INDIRECT("'Student_Record 1'!C" &amp; ROW()))</f>
        <v>881</v>
      </c>
      <c r="C16" s="8" t="str" cm="1">
        <f t="array" aca="1" ref="C16" ca="1">IF(INDIRECT("'Student_Record 1'!E" &amp; ROW())="", "", INDIRECT("'Student_Record 1'!E" &amp; ROW()))</f>
        <v>Radhika</v>
      </c>
      <c r="D16" s="8" t="str" cm="1">
        <f t="array" aca="1" ref="D16" ca="1">IF(INDIRECT("'Student_Record 1'!G" &amp; ROW())="", "", INDIRECT("'Student_Record 1'!G" &amp; ROW()))</f>
        <v>Dhanraj</v>
      </c>
      <c r="E16" s="8" t="str" cm="1">
        <f t="array" aca="1" ref="E16" ca="1">IF(INDIRECT("'Student_Record 1'!I" &amp; ROW())="", "", INDIRECT("'Student_Record 1'!I" &amp; ROW()))</f>
        <v>F</v>
      </c>
      <c r="F16" s="8" t="str" cm="1">
        <f t="array" aca="1" ref="F16" ca="1">IF(INDIRECT("'Student_Record 1'!O" &amp; ROW())="", "", INDIRECT("'Student_Record 1'!O" &amp; ROW()))</f>
        <v>OBC</v>
      </c>
      <c r="G16" s="11"/>
      <c r="I16" s="11"/>
      <c r="J16" s="11"/>
      <c r="K16" s="11"/>
      <c r="L16" s="11"/>
      <c r="M16" s="11"/>
      <c r="N16" s="11"/>
      <c r="O16" s="11"/>
      <c r="P16" s="11"/>
      <c r="Q16" s="11"/>
    </row>
    <row r="17" spans="1:17" x14ac:dyDescent="0.25">
      <c r="A17" s="8" cm="1">
        <f t="array" aca="1" ref="A17" ca="1">IF(INDIRECT("'Student_Record 1'!A" &amp; ROW())="", "", INDIRECT("'Student_Record 1'!A" &amp; ROW()))</f>
        <v>1</v>
      </c>
      <c r="B17" s="8" cm="1">
        <f t="array" aca="1" ref="B17" ca="1">IF(INDIRECT("'Student_Record 1'!C" &amp; ROW())="", "", INDIRECT("'Student_Record 1'!C" &amp; ROW()))</f>
        <v>923</v>
      </c>
      <c r="C17" s="8" t="str" cm="1">
        <f t="array" aca="1" ref="C17" ca="1">IF(INDIRECT("'Student_Record 1'!E" &amp; ROW())="", "", INDIRECT("'Student_Record 1'!E" &amp; ROW()))</f>
        <v>Rajveer Jat</v>
      </c>
      <c r="D17" s="8" t="str" cm="1">
        <f t="array" aca="1" ref="D17" ca="1">IF(INDIRECT("'Student_Record 1'!G" &amp; ROW())="", "", INDIRECT("'Student_Record 1'!G" &amp; ROW()))</f>
        <v>Prithviraj</v>
      </c>
      <c r="E17" s="8" t="str" cm="1">
        <f t="array" aca="1" ref="E17" ca="1">IF(INDIRECT("'Student_Record 1'!I" &amp; ROW())="", "", INDIRECT("'Student_Record 1'!I" &amp; ROW()))</f>
        <v>M</v>
      </c>
      <c r="F17" s="8" t="str" cm="1">
        <f t="array" aca="1" ref="F17" ca="1">IF(INDIRECT("'Student_Record 1'!O" &amp; ROW())="", "", INDIRECT("'Student_Record 1'!O" &amp; ROW()))</f>
        <v>OBC</v>
      </c>
      <c r="G17" s="11"/>
      <c r="I17" s="11"/>
      <c r="J17" s="11"/>
      <c r="K17" s="11"/>
      <c r="L17" s="11"/>
      <c r="M17" s="11"/>
      <c r="N17" s="11"/>
      <c r="O17" s="11"/>
      <c r="P17" s="11"/>
      <c r="Q17" s="11"/>
    </row>
    <row r="18" spans="1:17" x14ac:dyDescent="0.25">
      <c r="A18" s="8" cm="1">
        <f t="array" aca="1" ref="A18" ca="1">IF(INDIRECT("'Student_Record 1'!A" &amp; ROW())="", "", INDIRECT("'Student_Record 1'!A" &amp; ROW()))</f>
        <v>1</v>
      </c>
      <c r="B18" s="8" cm="1">
        <f t="array" aca="1" ref="B18" ca="1">IF(INDIRECT("'Student_Record 1'!C" &amp; ROW())="", "", INDIRECT("'Student_Record 1'!C" &amp; ROW()))</f>
        <v>905</v>
      </c>
      <c r="C18" s="8" t="str" cm="1">
        <f t="array" aca="1" ref="C18" ca="1">IF(INDIRECT("'Student_Record 1'!E" &amp; ROW())="", "", INDIRECT("'Student_Record 1'!E" &amp; ROW()))</f>
        <v>Rinku Prajapat</v>
      </c>
      <c r="D18" s="8" t="str" cm="1">
        <f t="array" aca="1" ref="D18" ca="1">IF(INDIRECT("'Student_Record 1'!G" &amp; ROW())="", "", INDIRECT("'Student_Record 1'!G" &amp; ROW()))</f>
        <v>Kailash</v>
      </c>
      <c r="E18" s="8" t="str" cm="1">
        <f t="array" aca="1" ref="E18" ca="1">IF(INDIRECT("'Student_Record 1'!I" &amp; ROW())="", "", INDIRECT("'Student_Record 1'!I" &amp; ROW()))</f>
        <v>F</v>
      </c>
      <c r="F18" s="8" t="str" cm="1">
        <f t="array" aca="1" ref="F18" ca="1">IF(INDIRECT("'Student_Record 1'!O" &amp; ROW())="", "", INDIRECT("'Student_Record 1'!O" &amp; ROW()))</f>
        <v>OBC</v>
      </c>
      <c r="G18" s="11"/>
      <c r="I18" s="11"/>
      <c r="J18" s="11"/>
      <c r="K18" s="11"/>
      <c r="L18" s="11"/>
      <c r="M18" s="11"/>
      <c r="N18" s="11"/>
      <c r="O18" s="11"/>
      <c r="P18" s="11"/>
      <c r="Q18" s="11"/>
    </row>
    <row r="19" spans="1:17" x14ac:dyDescent="0.25">
      <c r="A19" s="8" cm="1">
        <f t="array" aca="1" ref="A19" ca="1">IF(INDIRECT("'Student_Record 1'!A" &amp; ROW())="", "", INDIRECT("'Student_Record 1'!A" &amp; ROW()))</f>
        <v>1</v>
      </c>
      <c r="B19" s="8" cm="1">
        <f t="array" aca="1" ref="B19" ca="1">IF(INDIRECT("'Student_Record 1'!C" &amp; ROW())="", "", INDIRECT("'Student_Record 1'!C" &amp; ROW()))</f>
        <v>899</v>
      </c>
      <c r="C19" s="8" t="str" cm="1">
        <f t="array" aca="1" ref="C19" ca="1">IF(INDIRECT("'Student_Record 1'!E" &amp; ROW())="", "", INDIRECT("'Student_Record 1'!E" &amp; ROW()))</f>
        <v>Shivangi</v>
      </c>
      <c r="D19" s="8" t="str" cm="1">
        <f t="array" aca="1" ref="D19" ca="1">IF(INDIRECT("'Student_Record 1'!G" &amp; ROW())="", "", INDIRECT("'Student_Record 1'!G" &amp; ROW()))</f>
        <v>Hanuman</v>
      </c>
      <c r="E19" s="8" t="str" cm="1">
        <f t="array" aca="1" ref="E19" ca="1">IF(INDIRECT("'Student_Record 1'!I" &amp; ROW())="", "", INDIRECT("'Student_Record 1'!I" &amp; ROW()))</f>
        <v>F</v>
      </c>
      <c r="F19" s="8" t="str" cm="1">
        <f t="array" aca="1" ref="F19" ca="1">IF(INDIRECT("'Student_Record 1'!O" &amp; ROW())="", "", INDIRECT("'Student_Record 1'!O" &amp; ROW()))</f>
        <v>OBC</v>
      </c>
      <c r="G19" s="11"/>
      <c r="I19" s="11"/>
      <c r="J19" s="11"/>
      <c r="K19" s="11"/>
      <c r="L19" s="11"/>
      <c r="M19" s="11"/>
      <c r="N19" s="11"/>
      <c r="O19" s="11"/>
      <c r="P19" s="11"/>
      <c r="Q19" s="11"/>
    </row>
    <row r="20" spans="1:17" x14ac:dyDescent="0.25">
      <c r="A20" s="8" cm="1">
        <f t="array" aca="1" ref="A20" ca="1">IF(INDIRECT("'Student_Record 1'!A" &amp; ROW())="", "", INDIRECT("'Student_Record 1'!A" &amp; ROW()))</f>
        <v>1</v>
      </c>
      <c r="B20" s="8" cm="1">
        <f t="array" aca="1" ref="B20" ca="1">IF(INDIRECT("'Student_Record 1'!C" &amp; ROW())="", "", INDIRECT("'Student_Record 1'!C" &amp; ROW()))</f>
        <v>874</v>
      </c>
      <c r="C20" s="8" t="str" cm="1">
        <f t="array" aca="1" ref="C20" ca="1">IF(INDIRECT("'Student_Record 1'!E" &amp; ROW())="", "", INDIRECT("'Student_Record 1'!E" &amp; ROW()))</f>
        <v>Shivani</v>
      </c>
      <c r="D20" s="8" t="str" cm="1">
        <f t="array" aca="1" ref="D20" ca="1">IF(INDIRECT("'Student_Record 1'!G" &amp; ROW())="", "", INDIRECT("'Student_Record 1'!G" &amp; ROW()))</f>
        <v>Prithvi Raj</v>
      </c>
      <c r="E20" s="8" t="str" cm="1">
        <f t="array" aca="1" ref="E20" ca="1">IF(INDIRECT("'Student_Record 1'!I" &amp; ROW())="", "", INDIRECT("'Student_Record 1'!I" &amp; ROW()))</f>
        <v>F</v>
      </c>
      <c r="F20" s="8" t="str" cm="1">
        <f t="array" aca="1" ref="F20" ca="1">IF(INDIRECT("'Student_Record 1'!O" &amp; ROW())="", "", INDIRECT("'Student_Record 1'!O" &amp; ROW()))</f>
        <v>OBC</v>
      </c>
      <c r="G20" s="11"/>
      <c r="I20" s="11"/>
      <c r="J20" s="11"/>
      <c r="K20" s="11"/>
      <c r="L20" s="11"/>
      <c r="M20" s="11"/>
      <c r="N20" s="11"/>
      <c r="O20" s="11"/>
      <c r="P20" s="11"/>
      <c r="Q20" s="11"/>
    </row>
    <row r="21" spans="1:17" x14ac:dyDescent="0.25">
      <c r="A21" s="8" cm="1">
        <f t="array" aca="1" ref="A21" ca="1">IF(INDIRECT("'Student_Record 1'!A" &amp; ROW())="", "", INDIRECT("'Student_Record 1'!A" &amp; ROW()))</f>
        <v>1</v>
      </c>
      <c r="B21" s="8" cm="1">
        <f t="array" aca="1" ref="B21" ca="1">IF(INDIRECT("'Student_Record 1'!C" &amp; ROW())="", "", INDIRECT("'Student_Record 1'!C" &amp; ROW()))</f>
        <v>882</v>
      </c>
      <c r="C21" s="8" t="str" cm="1">
        <f t="array" aca="1" ref="C21" ca="1">IF(INDIRECT("'Student_Record 1'!E" &amp; ROW())="", "", INDIRECT("'Student_Record 1'!E" &amp; ROW()))</f>
        <v>Tannu</v>
      </c>
      <c r="D21" s="8" t="str" cm="1">
        <f t="array" aca="1" ref="D21" ca="1">IF(INDIRECT("'Student_Record 1'!G" &amp; ROW())="", "", INDIRECT("'Student_Record 1'!G" &amp; ROW()))</f>
        <v>Basram</v>
      </c>
      <c r="E21" s="8" t="str" cm="1">
        <f t="array" aca="1" ref="E21" ca="1">IF(INDIRECT("'Student_Record 1'!I" &amp; ROW())="", "", INDIRECT("'Student_Record 1'!I" &amp; ROW()))</f>
        <v>F</v>
      </c>
      <c r="F21" s="8" t="str" cm="1">
        <f t="array" aca="1" ref="F21" ca="1">IF(INDIRECT("'Student_Record 1'!O" &amp; ROW())="", "", INDIRECT("'Student_Record 1'!O" &amp; ROW()))</f>
        <v>OBC</v>
      </c>
      <c r="G21" s="11"/>
      <c r="I21" s="11"/>
      <c r="J21" s="11"/>
      <c r="K21" s="11"/>
      <c r="L21" s="11"/>
      <c r="M21" s="11"/>
      <c r="N21" s="11"/>
      <c r="O21" s="11"/>
      <c r="P21" s="11"/>
      <c r="Q21" s="11"/>
    </row>
    <row r="22" spans="1:17" x14ac:dyDescent="0.25">
      <c r="A22" s="8" cm="1">
        <f t="array" aca="1" ref="A22" ca="1">IF(INDIRECT("'Student_Record 1'!A" &amp; ROW())="", "", INDIRECT("'Student_Record 1'!A" &amp; ROW()))</f>
        <v>1</v>
      </c>
      <c r="B22" s="8" cm="1">
        <f t="array" aca="1" ref="B22" ca="1">IF(INDIRECT("'Student_Record 1'!C" &amp; ROW())="", "", INDIRECT("'Student_Record 1'!C" &amp; ROW()))</f>
        <v>876</v>
      </c>
      <c r="C22" s="8" t="str" cm="1">
        <f t="array" aca="1" ref="C22" ca="1">IF(INDIRECT("'Student_Record 1'!E" &amp; ROW())="", "", INDIRECT("'Student_Record 1'!E" &amp; ROW()))</f>
        <v>Vinod Choudhary</v>
      </c>
      <c r="D22" s="8" t="str" cm="1">
        <f t="array" aca="1" ref="D22" ca="1">IF(INDIRECT("'Student_Record 1'!G" &amp; ROW())="", "", INDIRECT("'Student_Record 1'!G" &amp; ROW()))</f>
        <v>Mangi Lal Choudhary</v>
      </c>
      <c r="E22" s="8" t="str" cm="1">
        <f t="array" aca="1" ref="E22" ca="1">IF(INDIRECT("'Student_Record 1'!I" &amp; ROW())="", "", INDIRECT("'Student_Record 1'!I" &amp; ROW()))</f>
        <v>M</v>
      </c>
      <c r="F22" s="8" t="str" cm="1">
        <f t="array" aca="1" ref="F22" ca="1">IF(INDIRECT("'Student_Record 1'!O" &amp; ROW())="", "", INDIRECT("'Student_Record 1'!O" &amp; ROW()))</f>
        <v>OBC</v>
      </c>
      <c r="G22" s="11"/>
      <c r="I22" s="11"/>
      <c r="J22" s="11"/>
      <c r="K22" s="11"/>
      <c r="L22" s="11"/>
      <c r="M22" s="11"/>
      <c r="N22" s="11"/>
      <c r="O22" s="11"/>
      <c r="P22" s="11"/>
      <c r="Q22" s="11"/>
    </row>
    <row r="23" spans="1:17" x14ac:dyDescent="0.25">
      <c r="A23" s="8" cm="1">
        <f t="array" aca="1" ref="A23" ca="1">IF(INDIRECT("'Student_Record 1'!A" &amp; ROW())="", "", INDIRECT("'Student_Record 1'!A" &amp; ROW()))</f>
        <v>2</v>
      </c>
      <c r="B23" s="8" cm="1">
        <f t="array" aca="1" ref="B23" ca="1">IF(INDIRECT("'Student_Record 1'!C" &amp; ROW())="", "", INDIRECT("'Student_Record 1'!C" &amp; ROW()))</f>
        <v>814</v>
      </c>
      <c r="C23" s="8" t="str" cm="1">
        <f t="array" aca="1" ref="C23" ca="1">IF(INDIRECT("'Student_Record 1'!E" &amp; ROW())="", "", INDIRECT("'Student_Record 1'!E" &amp; ROW()))</f>
        <v>Achuki</v>
      </c>
      <c r="D23" s="8" t="str" cm="1">
        <f t="array" aca="1" ref="D23" ca="1">IF(INDIRECT("'Student_Record 1'!G" &amp; ROW())="", "", INDIRECT("'Student_Record 1'!G" &amp; ROW()))</f>
        <v>Sanwara</v>
      </c>
      <c r="E23" s="8" t="str" cm="1">
        <f t="array" aca="1" ref="E23" ca="1">IF(INDIRECT("'Student_Record 1'!I" &amp; ROW())="", "", INDIRECT("'Student_Record 1'!I" &amp; ROW()))</f>
        <v>F</v>
      </c>
      <c r="F23" s="8" t="str" cm="1">
        <f t="array" aca="1" ref="F23" ca="1">IF(INDIRECT("'Student_Record 1'!O" &amp; ROW())="", "", INDIRECT("'Student_Record 1'!O" &amp; ROW()))</f>
        <v>OBC</v>
      </c>
      <c r="G23" s="11"/>
      <c r="I23" s="11"/>
      <c r="J23" s="11"/>
      <c r="K23" s="11"/>
      <c r="L23" s="11"/>
      <c r="M23" s="11"/>
      <c r="N23" s="11"/>
      <c r="O23" s="11"/>
      <c r="P23" s="11"/>
      <c r="Q23" s="11"/>
    </row>
    <row r="24" spans="1:17" x14ac:dyDescent="0.25">
      <c r="A24" s="8" cm="1">
        <f t="array" aca="1" ref="A24" ca="1">IF(INDIRECT("'Student_Record 1'!A" &amp; ROW())="", "", INDIRECT("'Student_Record 1'!A" &amp; ROW()))</f>
        <v>2</v>
      </c>
      <c r="B24" s="8" cm="1">
        <f t="array" aca="1" ref="B24" ca="1">IF(INDIRECT("'Student_Record 1'!C" &amp; ROW())="", "", INDIRECT("'Student_Record 1'!C" &amp; ROW()))</f>
        <v>837</v>
      </c>
      <c r="C24" s="8" t="str" cm="1">
        <f t="array" aca="1" ref="C24" ca="1">IF(INDIRECT("'Student_Record 1'!E" &amp; ROW())="", "", INDIRECT("'Student_Record 1'!E" &amp; ROW()))</f>
        <v>Asha</v>
      </c>
      <c r="D24" s="8" t="str" cm="1">
        <f t="array" aca="1" ref="D24" ca="1">IF(INDIRECT("'Student_Record 1'!G" &amp; ROW())="", "", INDIRECT("'Student_Record 1'!G" &amp; ROW()))</f>
        <v>Mahaveer</v>
      </c>
      <c r="E24" s="8" t="str" cm="1">
        <f t="array" aca="1" ref="E24" ca="1">IF(INDIRECT("'Student_Record 1'!I" &amp; ROW())="", "", INDIRECT("'Student_Record 1'!I" &amp; ROW()))</f>
        <v>F</v>
      </c>
      <c r="F24" s="8" t="str" cm="1">
        <f t="array" aca="1" ref="F24" ca="1">IF(INDIRECT("'Student_Record 1'!O" &amp; ROW())="", "", INDIRECT("'Student_Record 1'!O" &amp; ROW()))</f>
        <v>OBC</v>
      </c>
      <c r="G24" s="11"/>
      <c r="I24" s="11"/>
      <c r="J24" s="11"/>
      <c r="K24" s="11"/>
      <c r="L24" s="11"/>
      <c r="M24" s="11"/>
      <c r="N24" s="11"/>
      <c r="O24" s="11"/>
      <c r="P24" s="11"/>
      <c r="Q24" s="11"/>
    </row>
    <row r="25" spans="1:17" x14ac:dyDescent="0.25">
      <c r="A25" s="8" cm="1">
        <f t="array" aca="1" ref="A25" ca="1">IF(INDIRECT("'Student_Record 1'!A" &amp; ROW())="", "", INDIRECT("'Student_Record 1'!A" &amp; ROW()))</f>
        <v>2</v>
      </c>
      <c r="B25" s="8" cm="1">
        <f t="array" aca="1" ref="B25" ca="1">IF(INDIRECT("'Student_Record 1'!C" &amp; ROW())="", "", INDIRECT("'Student_Record 1'!C" &amp; ROW()))</f>
        <v>853</v>
      </c>
      <c r="C25" s="8" t="str" cm="1">
        <f t="array" aca="1" ref="C25" ca="1">IF(INDIRECT("'Student_Record 1'!E" &amp; ROW())="", "", INDIRECT("'Student_Record 1'!E" &amp; ROW()))</f>
        <v>Ashika</v>
      </c>
      <c r="D25" s="8" t="str" cm="1">
        <f t="array" aca="1" ref="D25" ca="1">IF(INDIRECT("'Student_Record 1'!G" &amp; ROW())="", "", INDIRECT("'Student_Record 1'!G" &amp; ROW()))</f>
        <v>Hariram</v>
      </c>
      <c r="E25" s="8" t="str" cm="1">
        <f t="array" aca="1" ref="E25" ca="1">IF(INDIRECT("'Student_Record 1'!I" &amp; ROW())="", "", INDIRECT("'Student_Record 1'!I" &amp; ROW()))</f>
        <v>F</v>
      </c>
      <c r="F25" s="8" t="str" cm="1">
        <f t="array" aca="1" ref="F25" ca="1">IF(INDIRECT("'Student_Record 1'!O" &amp; ROW())="", "", INDIRECT("'Student_Record 1'!O" &amp; ROW()))</f>
        <v>OBC</v>
      </c>
      <c r="G25" s="11"/>
      <c r="I25" s="11"/>
      <c r="J25" s="11"/>
      <c r="K25" s="11"/>
      <c r="L25" s="11"/>
      <c r="M25" s="11"/>
      <c r="N25" s="11"/>
      <c r="O25" s="11"/>
      <c r="P25" s="11"/>
      <c r="Q25" s="11"/>
    </row>
    <row r="26" spans="1:17" x14ac:dyDescent="0.25">
      <c r="A26" s="8" cm="1">
        <f t="array" aca="1" ref="A26" ca="1">IF(INDIRECT("'Student_Record 1'!A" &amp; ROW())="", "", INDIRECT("'Student_Record 1'!A" &amp; ROW()))</f>
        <v>2</v>
      </c>
      <c r="B26" s="8" cm="1">
        <f t="array" aca="1" ref="B26" ca="1">IF(INDIRECT("'Student_Record 1'!C" &amp; ROW())="", "", INDIRECT("'Student_Record 1'!C" &amp; ROW()))</f>
        <v>893</v>
      </c>
      <c r="C26" s="8" t="str" cm="1">
        <f t="array" aca="1" ref="C26" ca="1">IF(INDIRECT("'Student_Record 1'!E" &amp; ROW())="", "", INDIRECT("'Student_Record 1'!E" &amp; ROW()))</f>
        <v>Bhawana Choudhary</v>
      </c>
      <c r="D26" s="8" t="str" cm="1">
        <f t="array" aca="1" ref="D26" ca="1">IF(INDIRECT("'Student_Record 1'!G" &amp; ROW())="", "", INDIRECT("'Student_Record 1'!G" &amp; ROW()))</f>
        <v>Mahaveer Prasad Jat</v>
      </c>
      <c r="E26" s="8" t="str" cm="1">
        <f t="array" aca="1" ref="E26" ca="1">IF(INDIRECT("'Student_Record 1'!I" &amp; ROW())="", "", INDIRECT("'Student_Record 1'!I" &amp; ROW()))</f>
        <v>F</v>
      </c>
      <c r="F26" s="8" t="str" cm="1">
        <f t="array" aca="1" ref="F26" ca="1">IF(INDIRECT("'Student_Record 1'!O" &amp; ROW())="", "", INDIRECT("'Student_Record 1'!O" &amp; ROW()))</f>
        <v>OBC</v>
      </c>
      <c r="G26" s="11"/>
      <c r="I26" s="11"/>
      <c r="J26" s="11"/>
      <c r="K26" s="11"/>
      <c r="L26" s="11"/>
      <c r="M26" s="11"/>
      <c r="N26" s="11"/>
      <c r="O26" s="11"/>
      <c r="P26" s="11"/>
      <c r="Q26" s="11"/>
    </row>
    <row r="27" spans="1:17" x14ac:dyDescent="0.25">
      <c r="A27" s="8" cm="1">
        <f t="array" aca="1" ref="A27" ca="1">IF(INDIRECT("'Student_Record 1'!A" &amp; ROW())="", "", INDIRECT("'Student_Record 1'!A" &amp; ROW()))</f>
        <v>2</v>
      </c>
      <c r="B27" s="8" cm="1">
        <f t="array" aca="1" ref="B27" ca="1">IF(INDIRECT("'Student_Record 1'!C" &amp; ROW())="", "", INDIRECT("'Student_Record 1'!C" &amp; ROW()))</f>
        <v>863</v>
      </c>
      <c r="C27" s="8" t="str" cm="1">
        <f t="array" aca="1" ref="C27" ca="1">IF(INDIRECT("'Student_Record 1'!E" &amp; ROW())="", "", INDIRECT("'Student_Record 1'!E" &amp; ROW()))</f>
        <v>Deepak Jat</v>
      </c>
      <c r="D27" s="8" t="str" cm="1">
        <f t="array" aca="1" ref="D27" ca="1">IF(INDIRECT("'Student_Record 1'!G" &amp; ROW())="", "", INDIRECT("'Student_Record 1'!G" &amp; ROW()))</f>
        <v>Ramprasad</v>
      </c>
      <c r="E27" s="8" t="str" cm="1">
        <f t="array" aca="1" ref="E27" ca="1">IF(INDIRECT("'Student_Record 1'!I" &amp; ROW())="", "", INDIRECT("'Student_Record 1'!I" &amp; ROW()))</f>
        <v>M</v>
      </c>
      <c r="F27" s="8" t="str" cm="1">
        <f t="array" aca="1" ref="F27" ca="1">IF(INDIRECT("'Student_Record 1'!O" &amp; ROW())="", "", INDIRECT("'Student_Record 1'!O" &amp; ROW()))</f>
        <v>OBC</v>
      </c>
      <c r="G27" s="11"/>
      <c r="I27" s="11"/>
      <c r="J27" s="11"/>
      <c r="K27" s="11"/>
      <c r="L27" s="11"/>
      <c r="M27" s="11"/>
      <c r="N27" s="11"/>
      <c r="O27" s="11"/>
      <c r="P27" s="11"/>
      <c r="Q27" s="11"/>
    </row>
    <row r="28" spans="1:17" x14ac:dyDescent="0.25">
      <c r="A28" s="8" cm="1">
        <f t="array" aca="1" ref="A28" ca="1">IF(INDIRECT("'Student_Record 1'!A" &amp; ROW())="", "", INDIRECT("'Student_Record 1'!A" &amp; ROW()))</f>
        <v>2</v>
      </c>
      <c r="B28" s="8" cm="1">
        <f t="array" aca="1" ref="B28" ca="1">IF(INDIRECT("'Student_Record 1'!C" &amp; ROW())="", "", INDIRECT("'Student_Record 1'!C" &amp; ROW()))</f>
        <v>810</v>
      </c>
      <c r="C28" s="8" t="str" cm="1">
        <f t="array" aca="1" ref="C28" ca="1">IF(INDIRECT("'Student_Record 1'!E" &amp; ROW())="", "", INDIRECT("'Student_Record 1'!E" &amp; ROW()))</f>
        <v>Dilkhush</v>
      </c>
      <c r="D28" s="8" t="str" cm="1">
        <f t="array" aca="1" ref="D28" ca="1">IF(INDIRECT("'Student_Record 1'!G" &amp; ROW())="", "", INDIRECT("'Student_Record 1'!G" &amp; ROW()))</f>
        <v>Golu Ram</v>
      </c>
      <c r="E28" s="8" t="str" cm="1">
        <f t="array" aca="1" ref="E28" ca="1">IF(INDIRECT("'Student_Record 1'!I" &amp; ROW())="", "", INDIRECT("'Student_Record 1'!I" &amp; ROW()))</f>
        <v>M</v>
      </c>
      <c r="F28" s="8" t="str" cm="1">
        <f t="array" aca="1" ref="F28" ca="1">IF(INDIRECT("'Student_Record 1'!O" &amp; ROW())="", "", INDIRECT("'Student_Record 1'!O" &amp; ROW()))</f>
        <v>OBC</v>
      </c>
      <c r="G28" s="11"/>
      <c r="I28" s="11"/>
      <c r="J28" s="11"/>
      <c r="K28" s="11"/>
      <c r="L28" s="11"/>
      <c r="M28" s="11"/>
      <c r="N28" s="11"/>
      <c r="O28" s="11"/>
      <c r="P28" s="11"/>
      <c r="Q28" s="11"/>
    </row>
    <row r="29" spans="1:17" x14ac:dyDescent="0.25">
      <c r="A29" s="8" cm="1">
        <f t="array" aca="1" ref="A29" ca="1">IF(INDIRECT("'Student_Record 1'!A" &amp; ROW())="", "", INDIRECT("'Student_Record 1'!A" &amp; ROW()))</f>
        <v>2</v>
      </c>
      <c r="B29" s="8" cm="1">
        <f t="array" aca="1" ref="B29" ca="1">IF(INDIRECT("'Student_Record 1'!C" &amp; ROW())="", "", INDIRECT("'Student_Record 1'!C" &amp; ROW()))</f>
        <v>902</v>
      </c>
      <c r="C29" s="8" t="str" cm="1">
        <f t="array" aca="1" ref="C29" ca="1">IF(INDIRECT("'Student_Record 1'!E" &amp; ROW())="", "", INDIRECT("'Student_Record 1'!E" &amp; ROW()))</f>
        <v>Hansa Prajapat</v>
      </c>
      <c r="D29" s="8" t="str" cm="1">
        <f t="array" aca="1" ref="D29" ca="1">IF(INDIRECT("'Student_Record 1'!G" &amp; ROW())="", "", INDIRECT("'Student_Record 1'!G" &amp; ROW()))</f>
        <v>Prakash Prajapat</v>
      </c>
      <c r="E29" s="8" t="str" cm="1">
        <f t="array" aca="1" ref="E29" ca="1">IF(INDIRECT("'Student_Record 1'!I" &amp; ROW())="", "", INDIRECT("'Student_Record 1'!I" &amp; ROW()))</f>
        <v>F</v>
      </c>
      <c r="F29" s="8" t="str" cm="1">
        <f t="array" aca="1" ref="F29" ca="1">IF(INDIRECT("'Student_Record 1'!O" &amp; ROW())="", "", INDIRECT("'Student_Record 1'!O" &amp; ROW()))</f>
        <v>OBC</v>
      </c>
      <c r="G29" s="11"/>
      <c r="I29" s="11"/>
      <c r="J29" s="11"/>
      <c r="K29" s="11"/>
      <c r="L29" s="11"/>
      <c r="M29" s="11"/>
      <c r="N29" s="11"/>
      <c r="O29" s="11"/>
      <c r="P29" s="11"/>
      <c r="Q29" s="11"/>
    </row>
    <row r="30" spans="1:17" x14ac:dyDescent="0.25">
      <c r="A30" s="8" cm="1">
        <f t="array" aca="1" ref="A30" ca="1">IF(INDIRECT("'Student_Record 1'!A" &amp; ROW())="", "", INDIRECT("'Student_Record 1'!A" &amp; ROW()))</f>
        <v>2</v>
      </c>
      <c r="B30" s="8" cm="1">
        <f t="array" aca="1" ref="B30" ca="1">IF(INDIRECT("'Student_Record 1'!C" &amp; ROW())="", "", INDIRECT("'Student_Record 1'!C" &amp; ROW()))</f>
        <v>844</v>
      </c>
      <c r="C30" s="8" t="str" cm="1">
        <f t="array" aca="1" ref="C30" ca="1">IF(INDIRECT("'Student_Record 1'!E" &amp; ROW())="", "", INDIRECT("'Student_Record 1'!E" &amp; ROW()))</f>
        <v>Khushi</v>
      </c>
      <c r="D30" s="8" t="str" cm="1">
        <f t="array" aca="1" ref="D30" ca="1">IF(INDIRECT("'Student_Record 1'!G" &amp; ROW())="", "", INDIRECT("'Student_Record 1'!G" &amp; ROW()))</f>
        <v>Pardhan</v>
      </c>
      <c r="E30" s="8" t="str" cm="1">
        <f t="array" aca="1" ref="E30" ca="1">IF(INDIRECT("'Student_Record 1'!I" &amp; ROW())="", "", INDIRECT("'Student_Record 1'!I" &amp; ROW()))</f>
        <v>F</v>
      </c>
      <c r="F30" s="8" t="str" cm="1">
        <f t="array" aca="1" ref="F30" ca="1">IF(INDIRECT("'Student_Record 1'!O" &amp; ROW())="", "", INDIRECT("'Student_Record 1'!O" &amp; ROW()))</f>
        <v>OBC</v>
      </c>
      <c r="G30" s="11"/>
      <c r="I30" s="11"/>
      <c r="J30" s="11"/>
      <c r="K30" s="11"/>
      <c r="L30" s="11"/>
      <c r="M30" s="11"/>
      <c r="N30" s="11"/>
      <c r="O30" s="11"/>
      <c r="P30" s="11"/>
      <c r="Q30" s="11"/>
    </row>
    <row r="31" spans="1:17" x14ac:dyDescent="0.25">
      <c r="A31" s="8" cm="1">
        <f t="array" aca="1" ref="A31" ca="1">IF(INDIRECT("'Student_Record 1'!A" &amp; ROW())="", "", INDIRECT("'Student_Record 1'!A" &amp; ROW()))</f>
        <v>2</v>
      </c>
      <c r="B31" s="8" cm="1">
        <f t="array" aca="1" ref="B31" ca="1">IF(INDIRECT("'Student_Record 1'!C" &amp; ROW())="", "", INDIRECT("'Student_Record 1'!C" &amp; ROW()))</f>
        <v>822</v>
      </c>
      <c r="C31" s="8" t="str" cm="1">
        <f t="array" aca="1" ref="C31" ca="1">IF(INDIRECT("'Student_Record 1'!E" &amp; ROW())="", "", INDIRECT("'Student_Record 1'!E" &amp; ROW()))</f>
        <v>Kumkum</v>
      </c>
      <c r="D31" s="8" t="str" cm="1">
        <f t="array" aca="1" ref="D31" ca="1">IF(INDIRECT("'Student_Record 1'!G" &amp; ROW())="", "", INDIRECT("'Student_Record 1'!G" &amp; ROW()))</f>
        <v>Shankar</v>
      </c>
      <c r="E31" s="8" t="str" cm="1">
        <f t="array" aca="1" ref="E31" ca="1">IF(INDIRECT("'Student_Record 1'!I" &amp; ROW())="", "", INDIRECT("'Student_Record 1'!I" &amp; ROW()))</f>
        <v>F</v>
      </c>
      <c r="F31" s="8" t="str" cm="1">
        <f t="array" aca="1" ref="F31" ca="1">IF(INDIRECT("'Student_Record 1'!O" &amp; ROW())="", "", INDIRECT("'Student_Record 1'!O" &amp; ROW()))</f>
        <v>OBC</v>
      </c>
      <c r="G31" s="11"/>
      <c r="I31" s="11"/>
      <c r="J31" s="11"/>
      <c r="K31" s="11"/>
      <c r="L31" s="11"/>
      <c r="M31" s="11"/>
      <c r="N31" s="11"/>
      <c r="O31" s="11"/>
      <c r="P31" s="11"/>
      <c r="Q31" s="11"/>
    </row>
    <row r="32" spans="1:17" x14ac:dyDescent="0.25">
      <c r="A32" s="8" cm="1">
        <f t="array" aca="1" ref="A32" ca="1">IF(INDIRECT("'Student_Record 1'!A" &amp; ROW())="", "", INDIRECT("'Student_Record 1'!A" &amp; ROW()))</f>
        <v>2</v>
      </c>
      <c r="B32" s="8" cm="1">
        <f t="array" aca="1" ref="B32" ca="1">IF(INDIRECT("'Student_Record 1'!C" &amp; ROW())="", "", INDIRECT("'Student_Record 1'!C" &amp; ROW()))</f>
        <v>842</v>
      </c>
      <c r="C32" s="8" t="str" cm="1">
        <f t="array" aca="1" ref="C32" ca="1">IF(INDIRECT("'Student_Record 1'!E" &amp; ROW())="", "", INDIRECT("'Student_Record 1'!E" &amp; ROW()))</f>
        <v>Mitali prajapat</v>
      </c>
      <c r="D32" s="8" t="str" cm="1">
        <f t="array" aca="1" ref="D32" ca="1">IF(INDIRECT("'Student_Record 1'!G" &amp; ROW())="", "", INDIRECT("'Student_Record 1'!G" &amp; ROW()))</f>
        <v>Shetan Prajapat</v>
      </c>
      <c r="E32" s="8" t="str" cm="1">
        <f t="array" aca="1" ref="E32" ca="1">IF(INDIRECT("'Student_Record 1'!I" &amp; ROW())="", "", INDIRECT("'Student_Record 1'!I" &amp; ROW()))</f>
        <v>F</v>
      </c>
      <c r="F32" s="8" t="str" cm="1">
        <f t="array" aca="1" ref="F32" ca="1">IF(INDIRECT("'Student_Record 1'!O" &amp; ROW())="", "", INDIRECT("'Student_Record 1'!O" &amp; ROW()))</f>
        <v>OBC</v>
      </c>
      <c r="G32" s="11"/>
      <c r="I32" s="11"/>
      <c r="J32" s="11"/>
      <c r="K32" s="11"/>
      <c r="L32" s="11"/>
      <c r="M32" s="11"/>
      <c r="N32" s="11"/>
      <c r="O32" s="11"/>
      <c r="P32" s="11"/>
      <c r="Q32" s="11"/>
    </row>
    <row r="33" spans="1:17" x14ac:dyDescent="0.25">
      <c r="A33" s="8" cm="1">
        <f t="array" aca="1" ref="A33" ca="1">IF(INDIRECT("'Student_Record 1'!A" &amp; ROW())="", "", INDIRECT("'Student_Record 1'!A" &amp; ROW()))</f>
        <v>2</v>
      </c>
      <c r="B33" s="8" cm="1">
        <f t="array" aca="1" ref="B33" ca="1">IF(INDIRECT("'Student_Record 1'!C" &amp; ROW())="", "", INDIRECT("'Student_Record 1'!C" &amp; ROW()))</f>
        <v>811</v>
      </c>
      <c r="C33" s="8" t="str" cm="1">
        <f t="array" aca="1" ref="C33" ca="1">IF(INDIRECT("'Student_Record 1'!E" &amp; ROW())="", "", INDIRECT("'Student_Record 1'!E" &amp; ROW()))</f>
        <v>Nesu</v>
      </c>
      <c r="D33" s="8" t="str" cm="1">
        <f t="array" aca="1" ref="D33" ca="1">IF(INDIRECT("'Student_Record 1'!G" &amp; ROW())="", "", INDIRECT("'Student_Record 1'!G" &amp; ROW()))</f>
        <v>Ramswarup</v>
      </c>
      <c r="E33" s="8" t="str" cm="1">
        <f t="array" aca="1" ref="E33" ca="1">IF(INDIRECT("'Student_Record 1'!I" &amp; ROW())="", "", INDIRECT("'Student_Record 1'!I" &amp; ROW()))</f>
        <v>F</v>
      </c>
      <c r="F33" s="8" t="str" cm="1">
        <f t="array" aca="1" ref="F33" ca="1">IF(INDIRECT("'Student_Record 1'!O" &amp; ROW())="", "", INDIRECT("'Student_Record 1'!O" &amp; ROW()))</f>
        <v>OBC</v>
      </c>
      <c r="G33" s="11"/>
      <c r="I33" s="11"/>
      <c r="J33" s="11"/>
      <c r="K33" s="11"/>
      <c r="L33" s="11"/>
      <c r="M33" s="11"/>
      <c r="N33" s="11"/>
      <c r="O33" s="11"/>
      <c r="P33" s="11"/>
      <c r="Q33" s="11"/>
    </row>
    <row r="34" spans="1:17" x14ac:dyDescent="0.25">
      <c r="A34" s="8" cm="1">
        <f t="array" aca="1" ref="A34" ca="1">IF(INDIRECT("'Student_Record 1'!A" &amp; ROW())="", "", INDIRECT("'Student_Record 1'!A" &amp; ROW()))</f>
        <v>2</v>
      </c>
      <c r="B34" s="8" cm="1">
        <f t="array" aca="1" ref="B34" ca="1">IF(INDIRECT("'Student_Record 1'!C" &amp; ROW())="", "", INDIRECT("'Student_Record 1'!C" &amp; ROW()))</f>
        <v>813</v>
      </c>
      <c r="C34" s="8" t="str" cm="1">
        <f t="array" aca="1" ref="C34" ca="1">IF(INDIRECT("'Student_Record 1'!E" &amp; ROW())="", "", INDIRECT("'Student_Record 1'!E" &amp; ROW()))</f>
        <v>Payal Bansali</v>
      </c>
      <c r="D34" s="8" t="str" cm="1">
        <f t="array" aca="1" ref="D34" ca="1">IF(INDIRECT("'Student_Record 1'!G" &amp; ROW())="", "", INDIRECT("'Student_Record 1'!G" &amp; ROW()))</f>
        <v>Chotu</v>
      </c>
      <c r="E34" s="8" t="str" cm="1">
        <f t="array" aca="1" ref="E34" ca="1">IF(INDIRECT("'Student_Record 1'!I" &amp; ROW())="", "", INDIRECT("'Student_Record 1'!I" &amp; ROW()))</f>
        <v>F</v>
      </c>
      <c r="F34" s="8" t="str" cm="1">
        <f t="array" aca="1" ref="F34" ca="1">IF(INDIRECT("'Student_Record 1'!O" &amp; ROW())="", "", INDIRECT("'Student_Record 1'!O" &amp; ROW()))</f>
        <v>SC</v>
      </c>
      <c r="G34" s="11"/>
      <c r="I34" s="11"/>
      <c r="J34" s="11"/>
      <c r="K34" s="11"/>
      <c r="L34" s="11"/>
      <c r="M34" s="11"/>
      <c r="N34" s="11"/>
      <c r="O34" s="11"/>
      <c r="P34" s="11"/>
      <c r="Q34" s="11"/>
    </row>
    <row r="35" spans="1:17" x14ac:dyDescent="0.25">
      <c r="A35" s="8" cm="1">
        <f t="array" aca="1" ref="A35" ca="1">IF(INDIRECT("'Student_Record 1'!A" &amp; ROW())="", "", INDIRECT("'Student_Record 1'!A" &amp; ROW()))</f>
        <v>2</v>
      </c>
      <c r="B35" s="8" cm="1">
        <f t="array" aca="1" ref="B35" ca="1">IF(INDIRECT("'Student_Record 1'!C" &amp; ROW())="", "", INDIRECT("'Student_Record 1'!C" &amp; ROW()))</f>
        <v>812</v>
      </c>
      <c r="C35" s="8" t="str" cm="1">
        <f t="array" aca="1" ref="C35" ca="1">IF(INDIRECT("'Student_Record 1'!E" &amp; ROW())="", "", INDIRECT("'Student_Record 1'!E" &amp; ROW()))</f>
        <v>Priyanka Prajapat</v>
      </c>
      <c r="D35" s="8" t="str" cm="1">
        <f t="array" aca="1" ref="D35" ca="1">IF(INDIRECT("'Student_Record 1'!G" &amp; ROW())="", "", INDIRECT("'Student_Record 1'!G" &amp; ROW()))</f>
        <v>Haradayal</v>
      </c>
      <c r="E35" s="8" t="str" cm="1">
        <f t="array" aca="1" ref="E35" ca="1">IF(INDIRECT("'Student_Record 1'!I" &amp; ROW())="", "", INDIRECT("'Student_Record 1'!I" &amp; ROW()))</f>
        <v>F</v>
      </c>
      <c r="F35" s="8" t="str" cm="1">
        <f t="array" aca="1" ref="F35" ca="1">IF(INDIRECT("'Student_Record 1'!O" &amp; ROW())="", "", INDIRECT("'Student_Record 1'!O" &amp; ROW()))</f>
        <v>OBC</v>
      </c>
      <c r="G35" s="11"/>
      <c r="I35" s="11"/>
      <c r="J35" s="11"/>
      <c r="K35" s="11"/>
      <c r="L35" s="11"/>
      <c r="M35" s="11"/>
      <c r="N35" s="11"/>
      <c r="O35" s="11"/>
      <c r="P35" s="11"/>
      <c r="Q35" s="11"/>
    </row>
    <row r="36" spans="1:17" x14ac:dyDescent="0.25">
      <c r="A36" s="8" cm="1">
        <f t="array" aca="1" ref="A36" ca="1">IF(INDIRECT("'Student_Record 1'!A" &amp; ROW())="", "", INDIRECT("'Student_Record 1'!A" &amp; ROW()))</f>
        <v>2</v>
      </c>
      <c r="B36" s="8" cm="1">
        <f t="array" aca="1" ref="B36" ca="1">IF(INDIRECT("'Student_Record 1'!C" &amp; ROW())="", "", INDIRECT("'Student_Record 1'!C" &amp; ROW()))</f>
        <v>894</v>
      </c>
      <c r="C36" s="8" t="str" cm="1">
        <f t="array" aca="1" ref="C36" ca="1">IF(INDIRECT("'Student_Record 1'!E" &amp; ROW())="", "", INDIRECT("'Student_Record 1'!E" &amp; ROW()))</f>
        <v>Radhika Jat</v>
      </c>
      <c r="D36" s="8" t="str" cm="1">
        <f t="array" aca="1" ref="D36" ca="1">IF(INDIRECT("'Student_Record 1'!G" &amp; ROW())="", "", INDIRECT("'Student_Record 1'!G" &amp; ROW()))</f>
        <v>Hanuman Jat</v>
      </c>
      <c r="E36" s="8" t="str" cm="1">
        <f t="array" aca="1" ref="E36" ca="1">IF(INDIRECT("'Student_Record 1'!I" &amp; ROW())="", "", INDIRECT("'Student_Record 1'!I" &amp; ROW()))</f>
        <v>F</v>
      </c>
      <c r="F36" s="8" t="str" cm="1">
        <f t="array" aca="1" ref="F36" ca="1">IF(INDIRECT("'Student_Record 1'!O" &amp; ROW())="", "", INDIRECT("'Student_Record 1'!O" &amp; ROW()))</f>
        <v>OBC</v>
      </c>
      <c r="G36" s="11"/>
      <c r="I36" s="11"/>
      <c r="J36" s="11"/>
      <c r="K36" s="11"/>
      <c r="L36" s="11"/>
      <c r="M36" s="11"/>
      <c r="N36" s="11"/>
      <c r="O36" s="11"/>
      <c r="P36" s="11"/>
      <c r="Q36" s="11"/>
    </row>
    <row r="37" spans="1:17" x14ac:dyDescent="0.25">
      <c r="A37" s="8" cm="1">
        <f t="array" aca="1" ref="A37" ca="1">IF(INDIRECT("'Student_Record 1'!A" &amp; ROW())="", "", INDIRECT("'Student_Record 1'!A" &amp; ROW()))</f>
        <v>2</v>
      </c>
      <c r="B37" s="8" cm="1">
        <f t="array" aca="1" ref="B37" ca="1">IF(INDIRECT("'Student_Record 1'!C" &amp; ROW())="", "", INDIRECT("'Student_Record 1'!C" &amp; ROW()))</f>
        <v>839</v>
      </c>
      <c r="C37" s="8" t="str" cm="1">
        <f t="array" aca="1" ref="C37" ca="1">IF(INDIRECT("'Student_Record 1'!E" &amp; ROW())="", "", INDIRECT("'Student_Record 1'!E" &amp; ROW()))</f>
        <v>Sonu Bheel</v>
      </c>
      <c r="D37" s="8" t="str" cm="1">
        <f t="array" aca="1" ref="D37" ca="1">IF(INDIRECT("'Student_Record 1'!G" &amp; ROW())="", "", INDIRECT("'Student_Record 1'!G" &amp; ROW()))</f>
        <v>Hanuman</v>
      </c>
      <c r="E37" s="8" t="str" cm="1">
        <f t="array" aca="1" ref="E37" ca="1">IF(INDIRECT("'Student_Record 1'!I" &amp; ROW())="", "", INDIRECT("'Student_Record 1'!I" &amp; ROW()))</f>
        <v>F</v>
      </c>
      <c r="F37" s="8" t="str" cm="1">
        <f t="array" aca="1" ref="F37" ca="1">IF(INDIRECT("'Student_Record 1'!O" &amp; ROW())="", "", INDIRECT("'Student_Record 1'!O" &amp; ROW()))</f>
        <v>ST</v>
      </c>
      <c r="G37" s="11"/>
      <c r="I37" s="11"/>
      <c r="J37" s="11"/>
      <c r="K37" s="11"/>
      <c r="L37" s="11"/>
      <c r="M37" s="11"/>
      <c r="N37" s="11"/>
      <c r="O37" s="11"/>
      <c r="P37" s="11"/>
      <c r="Q37" s="11"/>
    </row>
    <row r="38" spans="1:17" x14ac:dyDescent="0.25">
      <c r="A38" s="8" cm="1">
        <f t="array" aca="1" ref="A38" ca="1">IF(INDIRECT("'Student_Record 1'!A" &amp; ROW())="", "", INDIRECT("'Student_Record 1'!A" &amp; ROW()))</f>
        <v>2</v>
      </c>
      <c r="B38" s="8" cm="1">
        <f t="array" aca="1" ref="B38" ca="1">IF(INDIRECT("'Student_Record 1'!C" &amp; ROW())="", "", INDIRECT("'Student_Record 1'!C" &amp; ROW()))</f>
        <v>831</v>
      </c>
      <c r="C38" s="8" t="str" cm="1">
        <f t="array" aca="1" ref="C38" ca="1">IF(INDIRECT("'Student_Record 1'!E" &amp; ROW())="", "", INDIRECT("'Student_Record 1'!E" &amp; ROW()))</f>
        <v>Yartika Sain</v>
      </c>
      <c r="D38" s="8" t="str" cm="1">
        <f t="array" aca="1" ref="D38" ca="1">IF(INDIRECT("'Student_Record 1'!G" &amp; ROW())="", "", INDIRECT("'Student_Record 1'!G" &amp; ROW()))</f>
        <v>Rajesh Sain</v>
      </c>
      <c r="E38" s="8" t="str" cm="1">
        <f t="array" aca="1" ref="E38" ca="1">IF(INDIRECT("'Student_Record 1'!I" &amp; ROW())="", "", INDIRECT("'Student_Record 1'!I" &amp; ROW()))</f>
        <v>F</v>
      </c>
      <c r="F38" s="8" t="str" cm="1">
        <f t="array" aca="1" ref="F38" ca="1">IF(INDIRECT("'Student_Record 1'!O" &amp; ROW())="", "", INDIRECT("'Student_Record 1'!O" &amp; ROW()))</f>
        <v>OBC</v>
      </c>
      <c r="G38" s="11"/>
      <c r="I38" s="11"/>
      <c r="J38" s="11"/>
      <c r="K38" s="11"/>
      <c r="L38" s="11"/>
      <c r="M38" s="11"/>
      <c r="N38" s="11"/>
      <c r="O38" s="11"/>
      <c r="P38" s="11"/>
      <c r="Q38" s="11"/>
    </row>
    <row r="39" spans="1:17" x14ac:dyDescent="0.25">
      <c r="A39" s="8" cm="1">
        <f t="array" aca="1" ref="A39" ca="1">IF(INDIRECT("'Student_Record 1'!A" &amp; ROW())="", "", INDIRECT("'Student_Record 1'!A" &amp; ROW()))</f>
        <v>3</v>
      </c>
      <c r="B39" s="8" cm="1">
        <f t="array" aca="1" ref="B39" ca="1">IF(INDIRECT("'Student_Record 1'!C" &amp; ROW())="", "", INDIRECT("'Student_Record 1'!C" &amp; ROW()))</f>
        <v>762</v>
      </c>
      <c r="C39" s="8" t="str" cm="1">
        <f t="array" aca="1" ref="C39" ca="1">IF(INDIRECT("'Student_Record 1'!E" &amp; ROW())="", "", INDIRECT("'Student_Record 1'!E" &amp; ROW()))</f>
        <v>Aamna</v>
      </c>
      <c r="D39" s="8" t="str" cm="1">
        <f t="array" aca="1" ref="D39" ca="1">IF(INDIRECT("'Student_Record 1'!G" &amp; ROW())="", "", INDIRECT("'Student_Record 1'!G" &amp; ROW()))</f>
        <v>Shahbuddin</v>
      </c>
      <c r="E39" s="8" t="str" cm="1">
        <f t="array" aca="1" ref="E39" ca="1">IF(INDIRECT("'Student_Record 1'!I" &amp; ROW())="", "", INDIRECT("'Student_Record 1'!I" &amp; ROW()))</f>
        <v>F</v>
      </c>
      <c r="F39" s="8" t="str" cm="1">
        <f t="array" aca="1" ref="F39" ca="1">IF(INDIRECT("'Student_Record 1'!O" &amp; ROW())="", "", INDIRECT("'Student_Record 1'!O" &amp; ROW()))</f>
        <v>OBC</v>
      </c>
      <c r="G39" s="11"/>
      <c r="I39" s="11"/>
      <c r="J39" s="11"/>
      <c r="K39" s="11"/>
      <c r="L39" s="11"/>
      <c r="M39" s="11"/>
      <c r="N39" s="11"/>
      <c r="O39" s="11"/>
      <c r="P39" s="11"/>
      <c r="Q39" s="11"/>
    </row>
    <row r="40" spans="1:17" x14ac:dyDescent="0.25">
      <c r="A40" s="8" cm="1">
        <f t="array" aca="1" ref="A40" ca="1">IF(INDIRECT("'Student_Record 1'!A" &amp; ROW())="", "", INDIRECT("'Student_Record 1'!A" &amp; ROW()))</f>
        <v>3</v>
      </c>
      <c r="B40" s="8" cm="1">
        <f t="array" aca="1" ref="B40" ca="1">IF(INDIRECT("'Student_Record 1'!C" &amp; ROW())="", "", INDIRECT("'Student_Record 1'!C" &amp; ROW()))</f>
        <v>769</v>
      </c>
      <c r="C40" s="8" t="str" cm="1">
        <f t="array" aca="1" ref="C40" ca="1">IF(INDIRECT("'Student_Record 1'!E" &amp; ROW())="", "", INDIRECT("'Student_Record 1'!E" &amp; ROW()))</f>
        <v>Anjali</v>
      </c>
      <c r="D40" s="8" t="str" cm="1">
        <f t="array" aca="1" ref="D40" ca="1">IF(INDIRECT("'Student_Record 1'!G" &amp; ROW())="", "", INDIRECT("'Student_Record 1'!G" &amp; ROW()))</f>
        <v>Prithvi Raj</v>
      </c>
      <c r="E40" s="8" t="str" cm="1">
        <f t="array" aca="1" ref="E40" ca="1">IF(INDIRECT("'Student_Record 1'!I" &amp; ROW())="", "", INDIRECT("'Student_Record 1'!I" &amp; ROW()))</f>
        <v>F</v>
      </c>
      <c r="F40" s="8" t="str" cm="1">
        <f t="array" aca="1" ref="F40" ca="1">IF(INDIRECT("'Student_Record 1'!O" &amp; ROW())="", "", INDIRECT("'Student_Record 1'!O" &amp; ROW()))</f>
        <v>OBC</v>
      </c>
      <c r="G40" s="11"/>
      <c r="I40" s="11"/>
      <c r="J40" s="11"/>
      <c r="K40" s="11"/>
      <c r="L40" s="11"/>
      <c r="M40" s="11"/>
      <c r="N40" s="11"/>
      <c r="O40" s="11"/>
      <c r="P40" s="11"/>
      <c r="Q40" s="11"/>
    </row>
    <row r="41" spans="1:17" x14ac:dyDescent="0.25">
      <c r="A41" s="8" cm="1">
        <f t="array" aca="1" ref="A41" ca="1">IF(INDIRECT("'Student_Record 1'!A" &amp; ROW())="", "", INDIRECT("'Student_Record 1'!A" &amp; ROW()))</f>
        <v>3</v>
      </c>
      <c r="B41" s="8" cm="1">
        <f t="array" aca="1" ref="B41" ca="1">IF(INDIRECT("'Student_Record 1'!C" &amp; ROW())="", "", INDIRECT("'Student_Record 1'!C" &amp; ROW()))</f>
        <v>809</v>
      </c>
      <c r="C41" s="8" t="str" cm="1">
        <f t="array" aca="1" ref="C41" ca="1">IF(INDIRECT("'Student_Record 1'!E" &amp; ROW())="", "", INDIRECT("'Student_Record 1'!E" &amp; ROW()))</f>
        <v>Anju</v>
      </c>
      <c r="D41" s="8" t="str" cm="1">
        <f t="array" aca="1" ref="D41" ca="1">IF(INDIRECT("'Student_Record 1'!G" &amp; ROW())="", "", INDIRECT("'Student_Record 1'!G" &amp; ROW()))</f>
        <v>Mahendra</v>
      </c>
      <c r="E41" s="8" t="str" cm="1">
        <f t="array" aca="1" ref="E41" ca="1">IF(INDIRECT("'Student_Record 1'!I" &amp; ROW())="", "", INDIRECT("'Student_Record 1'!I" &amp; ROW()))</f>
        <v>F</v>
      </c>
      <c r="F41" s="8" t="str" cm="1">
        <f t="array" aca="1" ref="F41" ca="1">IF(INDIRECT("'Student_Record 1'!O" &amp; ROW())="", "", INDIRECT("'Student_Record 1'!O" &amp; ROW()))</f>
        <v>OBC</v>
      </c>
      <c r="G41" s="11"/>
      <c r="I41" s="11"/>
      <c r="J41" s="11"/>
      <c r="K41" s="11"/>
      <c r="L41" s="11"/>
      <c r="M41" s="11"/>
      <c r="N41" s="11"/>
      <c r="O41" s="11"/>
      <c r="P41" s="11"/>
      <c r="Q41" s="11"/>
    </row>
    <row r="42" spans="1:17" x14ac:dyDescent="0.25">
      <c r="A42" s="8" cm="1">
        <f t="array" aca="1" ref="A42" ca="1">IF(INDIRECT("'Student_Record 1'!A" &amp; ROW())="", "", INDIRECT("'Student_Record 1'!A" &amp; ROW()))</f>
        <v>3</v>
      </c>
      <c r="B42" s="8" cm="1">
        <f t="array" aca="1" ref="B42" ca="1">IF(INDIRECT("'Student_Record 1'!C" &amp; ROW())="", "", INDIRECT("'Student_Record 1'!C" &amp; ROW()))</f>
        <v>803</v>
      </c>
      <c r="C42" s="8" t="str" cm="1">
        <f t="array" aca="1" ref="C42" ca="1">IF(INDIRECT("'Student_Record 1'!E" &amp; ROW())="", "", INDIRECT("'Student_Record 1'!E" &amp; ROW()))</f>
        <v>Anju</v>
      </c>
      <c r="D42" s="8" t="str" cm="1">
        <f t="array" aca="1" ref="D42" ca="1">IF(INDIRECT("'Student_Record 1'!G" &amp; ROW())="", "", INDIRECT("'Student_Record 1'!G" &amp; ROW()))</f>
        <v>Hansraj</v>
      </c>
      <c r="E42" s="8" t="str" cm="1">
        <f t="array" aca="1" ref="E42" ca="1">IF(INDIRECT("'Student_Record 1'!I" &amp; ROW())="", "", INDIRECT("'Student_Record 1'!I" &amp; ROW()))</f>
        <v>F</v>
      </c>
      <c r="F42" s="8" t="str" cm="1">
        <f t="array" aca="1" ref="F42" ca="1">IF(INDIRECT("'Student_Record 1'!O" &amp; ROW())="", "", INDIRECT("'Student_Record 1'!O" &amp; ROW()))</f>
        <v>OBC</v>
      </c>
      <c r="G42" s="11"/>
      <c r="I42" s="11"/>
      <c r="J42" s="11"/>
      <c r="K42" s="11"/>
      <c r="L42" s="11"/>
      <c r="M42" s="11"/>
      <c r="N42" s="11"/>
      <c r="O42" s="11"/>
      <c r="P42" s="11"/>
      <c r="Q42" s="11"/>
    </row>
    <row r="43" spans="1:17" x14ac:dyDescent="0.25">
      <c r="A43" s="8" cm="1">
        <f t="array" aca="1" ref="A43" ca="1">IF(INDIRECT("'Student_Record 1'!A" &amp; ROW())="", "", INDIRECT("'Student_Record 1'!A" &amp; ROW()))</f>
        <v>3</v>
      </c>
      <c r="B43" s="8" cm="1">
        <f t="array" aca="1" ref="B43" ca="1">IF(INDIRECT("'Student_Record 1'!C" &amp; ROW())="", "", INDIRECT("'Student_Record 1'!C" &amp; ROW()))</f>
        <v>794</v>
      </c>
      <c r="C43" s="8" t="str" cm="1">
        <f t="array" aca="1" ref="C43" ca="1">IF(INDIRECT("'Student_Record 1'!E" &amp; ROW())="", "", INDIRECT("'Student_Record 1'!E" &amp; ROW()))</f>
        <v>Ankit</v>
      </c>
      <c r="D43" s="8" t="str" cm="1">
        <f t="array" aca="1" ref="D43" ca="1">IF(INDIRECT("'Student_Record 1'!G" &amp; ROW())="", "", INDIRECT("'Student_Record 1'!G" &amp; ROW()))</f>
        <v>Kalu Ram</v>
      </c>
      <c r="E43" s="8" t="str" cm="1">
        <f t="array" aca="1" ref="E43" ca="1">IF(INDIRECT("'Student_Record 1'!I" &amp; ROW())="", "", INDIRECT("'Student_Record 1'!I" &amp; ROW()))</f>
        <v>M</v>
      </c>
      <c r="F43" s="8" t="str" cm="1">
        <f t="array" aca="1" ref="F43" ca="1">IF(INDIRECT("'Student_Record 1'!O" &amp; ROW())="", "", INDIRECT("'Student_Record 1'!O" &amp; ROW()))</f>
        <v>SC</v>
      </c>
      <c r="G43" s="11"/>
      <c r="I43" s="11"/>
      <c r="J43" s="11"/>
      <c r="K43" s="11"/>
      <c r="L43" s="11"/>
      <c r="M43" s="11"/>
      <c r="N43" s="11"/>
      <c r="O43" s="11"/>
      <c r="P43" s="11"/>
      <c r="Q43" s="11"/>
    </row>
    <row r="44" spans="1:17" x14ac:dyDescent="0.25">
      <c r="A44" s="8" cm="1">
        <f t="array" aca="1" ref="A44" ca="1">IF(INDIRECT("'Student_Record 1'!A" &amp; ROW())="", "", INDIRECT("'Student_Record 1'!A" &amp; ROW()))</f>
        <v>3</v>
      </c>
      <c r="B44" s="8" cm="1">
        <f t="array" aca="1" ref="B44" ca="1">IF(INDIRECT("'Student_Record 1'!C" &amp; ROW())="", "", INDIRECT("'Student_Record 1'!C" &amp; ROW()))</f>
        <v>770</v>
      </c>
      <c r="C44" s="8" t="str" cm="1">
        <f t="array" aca="1" ref="C44" ca="1">IF(INDIRECT("'Student_Record 1'!E" &amp; ROW())="", "", INDIRECT("'Student_Record 1'!E" &amp; ROW()))</f>
        <v>Deepika Jat</v>
      </c>
      <c r="D44" s="8" t="str" cm="1">
        <f t="array" aca="1" ref="D44" ca="1">IF(INDIRECT("'Student_Record 1'!G" &amp; ROW())="", "", INDIRECT("'Student_Record 1'!G" &amp; ROW()))</f>
        <v>Prem Chand Jat</v>
      </c>
      <c r="E44" s="8" t="str" cm="1">
        <f t="array" aca="1" ref="E44" ca="1">IF(INDIRECT("'Student_Record 1'!I" &amp; ROW())="", "", INDIRECT("'Student_Record 1'!I" &amp; ROW()))</f>
        <v>F</v>
      </c>
      <c r="F44" s="8" t="str" cm="1">
        <f t="array" aca="1" ref="F44" ca="1">IF(INDIRECT("'Student_Record 1'!O" &amp; ROW())="", "", INDIRECT("'Student_Record 1'!O" &amp; ROW()))</f>
        <v>OBC</v>
      </c>
      <c r="G44" s="11"/>
      <c r="I44" s="11"/>
      <c r="J44" s="11"/>
      <c r="K44" s="11"/>
      <c r="L44" s="11"/>
      <c r="M44" s="11"/>
      <c r="N44" s="11"/>
      <c r="O44" s="11"/>
      <c r="P44" s="11"/>
      <c r="Q44" s="11"/>
    </row>
    <row r="45" spans="1:17" x14ac:dyDescent="0.25">
      <c r="A45" s="8" cm="1">
        <f t="array" aca="1" ref="A45" ca="1">IF(INDIRECT("'Student_Record 1'!A" &amp; ROW())="", "", INDIRECT("'Student_Record 1'!A" &amp; ROW()))</f>
        <v>3</v>
      </c>
      <c r="B45" s="8" cm="1">
        <f t="array" aca="1" ref="B45" ca="1">IF(INDIRECT("'Student_Record 1'!C" &amp; ROW())="", "", INDIRECT("'Student_Record 1'!C" &amp; ROW()))</f>
        <v>798</v>
      </c>
      <c r="C45" s="8" t="str" cm="1">
        <f t="array" aca="1" ref="C45" ca="1">IF(INDIRECT("'Student_Record 1'!E" &amp; ROW())="", "", INDIRECT("'Student_Record 1'!E" &amp; ROW()))</f>
        <v>Dilkhush</v>
      </c>
      <c r="D45" s="8" t="str" cm="1">
        <f t="array" aca="1" ref="D45" ca="1">IF(INDIRECT("'Student_Record 1'!G" &amp; ROW())="", "", INDIRECT("'Student_Record 1'!G" &amp; ROW()))</f>
        <v>Lalaram</v>
      </c>
      <c r="E45" s="8" t="str" cm="1">
        <f t="array" aca="1" ref="E45" ca="1">IF(INDIRECT("'Student_Record 1'!I" &amp; ROW())="", "", INDIRECT("'Student_Record 1'!I" &amp; ROW()))</f>
        <v>M</v>
      </c>
      <c r="F45" s="8" t="str" cm="1">
        <f t="array" aca="1" ref="F45" ca="1">IF(INDIRECT("'Student_Record 1'!O" &amp; ROW())="", "", INDIRECT("'Student_Record 1'!O" &amp; ROW()))</f>
        <v>OBC</v>
      </c>
      <c r="G45" s="11"/>
      <c r="I45" s="11"/>
      <c r="J45" s="11"/>
      <c r="K45" s="11"/>
      <c r="L45" s="11"/>
      <c r="M45" s="11"/>
      <c r="N45" s="11"/>
      <c r="O45" s="11"/>
      <c r="P45" s="11"/>
      <c r="Q45" s="11"/>
    </row>
    <row r="46" spans="1:17" x14ac:dyDescent="0.25">
      <c r="A46" s="8" cm="1">
        <f t="array" aca="1" ref="A46" ca="1">IF(INDIRECT("'Student_Record 1'!A" &amp; ROW())="", "", INDIRECT("'Student_Record 1'!A" &amp; ROW()))</f>
        <v>3</v>
      </c>
      <c r="B46" s="8" cm="1">
        <f t="array" aca="1" ref="B46" ca="1">IF(INDIRECT("'Student_Record 1'!C" &amp; ROW())="", "", INDIRECT("'Student_Record 1'!C" &amp; ROW()))</f>
        <v>781</v>
      </c>
      <c r="C46" s="8" t="str" cm="1">
        <f t="array" aca="1" ref="C46" ca="1">IF(INDIRECT("'Student_Record 1'!E" &amp; ROW())="", "", INDIRECT("'Student_Record 1'!E" &amp; ROW()))</f>
        <v>Dilkhush Prajapat</v>
      </c>
      <c r="D46" s="8" t="str" cm="1">
        <f t="array" aca="1" ref="D46" ca="1">IF(INDIRECT("'Student_Record 1'!G" &amp; ROW())="", "", INDIRECT("'Student_Record 1'!G" &amp; ROW()))</f>
        <v>Dharmichand</v>
      </c>
      <c r="E46" s="8" t="str" cm="1">
        <f t="array" aca="1" ref="E46" ca="1">IF(INDIRECT("'Student_Record 1'!I" &amp; ROW())="", "", INDIRECT("'Student_Record 1'!I" &amp; ROW()))</f>
        <v>M</v>
      </c>
      <c r="F46" s="8" t="str" cm="1">
        <f t="array" aca="1" ref="F46" ca="1">IF(INDIRECT("'Student_Record 1'!O" &amp; ROW())="", "", INDIRECT("'Student_Record 1'!O" &amp; ROW()))</f>
        <v>OBC</v>
      </c>
      <c r="G46" s="11"/>
      <c r="I46" s="11"/>
      <c r="J46" s="11"/>
      <c r="K46" s="11"/>
      <c r="L46" s="11"/>
      <c r="M46" s="11"/>
      <c r="N46" s="11"/>
      <c r="O46" s="11"/>
      <c r="P46" s="11"/>
      <c r="Q46" s="11"/>
    </row>
    <row r="47" spans="1:17" x14ac:dyDescent="0.25">
      <c r="A47" s="8" cm="1">
        <f t="array" aca="1" ref="A47" ca="1">IF(INDIRECT("'Student_Record 1'!A" &amp; ROW())="", "", INDIRECT("'Student_Record 1'!A" &amp; ROW()))</f>
        <v>3</v>
      </c>
      <c r="B47" s="8" cm="1">
        <f t="array" aca="1" ref="B47" ca="1">IF(INDIRECT("'Student_Record 1'!C" &amp; ROW())="", "", INDIRECT("'Student_Record 1'!C" &amp; ROW()))</f>
        <v>808</v>
      </c>
      <c r="C47" s="8" t="str" cm="1">
        <f t="array" aca="1" ref="C47" ca="1">IF(INDIRECT("'Student_Record 1'!E" &amp; ROW())="", "", INDIRECT("'Student_Record 1'!E" &amp; ROW()))</f>
        <v>Happy</v>
      </c>
      <c r="D47" s="8" t="str" cm="1">
        <f t="array" aca="1" ref="D47" ca="1">IF(INDIRECT("'Student_Record 1'!G" &amp; ROW())="", "", INDIRECT("'Student_Record 1'!G" &amp; ROW()))</f>
        <v>Naresh</v>
      </c>
      <c r="E47" s="8" t="str" cm="1">
        <f t="array" aca="1" ref="E47" ca="1">IF(INDIRECT("'Student_Record 1'!I" &amp; ROW())="", "", INDIRECT("'Student_Record 1'!I" &amp; ROW()))</f>
        <v>M</v>
      </c>
      <c r="F47" s="8" t="str" cm="1">
        <f t="array" aca="1" ref="F47" ca="1">IF(INDIRECT("'Student_Record 1'!O" &amp; ROW())="", "", INDIRECT("'Student_Record 1'!O" &amp; ROW()))</f>
        <v>SC</v>
      </c>
      <c r="G47" s="11"/>
      <c r="I47" s="11"/>
      <c r="J47" s="11"/>
      <c r="K47" s="11"/>
      <c r="L47" s="11"/>
      <c r="M47" s="11"/>
      <c r="N47" s="11"/>
      <c r="O47" s="11"/>
      <c r="P47" s="11"/>
      <c r="Q47" s="11"/>
    </row>
    <row r="48" spans="1:17" x14ac:dyDescent="0.25">
      <c r="A48" s="8" cm="1">
        <f t="array" aca="1" ref="A48" ca="1">IF(INDIRECT("'Student_Record 1'!A" &amp; ROW())="", "", INDIRECT("'Student_Record 1'!A" &amp; ROW()))</f>
        <v>3</v>
      </c>
      <c r="B48" s="8" cm="1">
        <f t="array" aca="1" ref="B48" ca="1">IF(INDIRECT("'Student_Record 1'!C" &amp; ROW())="", "", INDIRECT("'Student_Record 1'!C" &amp; ROW()))</f>
        <v>780</v>
      </c>
      <c r="C48" s="8" t="str" cm="1">
        <f t="array" aca="1" ref="C48" ca="1">IF(INDIRECT("'Student_Record 1'!E" &amp; ROW())="", "", INDIRECT("'Student_Record 1'!E" &amp; ROW()))</f>
        <v>Kanaram Prajapat</v>
      </c>
      <c r="D48" s="8" t="str" cm="1">
        <f t="array" aca="1" ref="D48" ca="1">IF(INDIRECT("'Student_Record 1'!G" &amp; ROW())="", "", INDIRECT("'Student_Record 1'!G" &amp; ROW()))</f>
        <v>Budhraj</v>
      </c>
      <c r="E48" s="8" t="str" cm="1">
        <f t="array" aca="1" ref="E48" ca="1">IF(INDIRECT("'Student_Record 1'!I" &amp; ROW())="", "", INDIRECT("'Student_Record 1'!I" &amp; ROW()))</f>
        <v>M</v>
      </c>
      <c r="F48" s="8" t="str" cm="1">
        <f t="array" aca="1" ref="F48" ca="1">IF(INDIRECT("'Student_Record 1'!O" &amp; ROW())="", "", INDIRECT("'Student_Record 1'!O" &amp; ROW()))</f>
        <v>OBC</v>
      </c>
      <c r="G48" s="11"/>
      <c r="I48" s="11"/>
      <c r="J48" s="11"/>
      <c r="K48" s="11"/>
      <c r="L48" s="11"/>
      <c r="M48" s="11"/>
      <c r="N48" s="11"/>
      <c r="O48" s="11"/>
      <c r="P48" s="11"/>
      <c r="Q48" s="11"/>
    </row>
    <row r="49" spans="1:17" x14ac:dyDescent="0.25">
      <c r="A49" s="8" cm="1">
        <f t="array" aca="1" ref="A49" ca="1">IF(INDIRECT("'Student_Record 1'!A" &amp; ROW())="", "", INDIRECT("'Student_Record 1'!A" &amp; ROW()))</f>
        <v>3</v>
      </c>
      <c r="B49" s="8" cm="1">
        <f t="array" aca="1" ref="B49" ca="1">IF(INDIRECT("'Student_Record 1'!C" &amp; ROW())="", "", INDIRECT("'Student_Record 1'!C" &amp; ROW()))</f>
        <v>787</v>
      </c>
      <c r="C49" s="8" t="str" cm="1">
        <f t="array" aca="1" ref="C49" ca="1">IF(INDIRECT("'Student_Record 1'!E" &amp; ROW())="", "", INDIRECT("'Student_Record 1'!E" &amp; ROW()))</f>
        <v>Khusi Prajapat</v>
      </c>
      <c r="D49" s="8" t="str" cm="1">
        <f t="array" aca="1" ref="D49" ca="1">IF(INDIRECT("'Student_Record 1'!G" &amp; ROW())="", "", INDIRECT("'Student_Record 1'!G" &amp; ROW()))</f>
        <v>Kailash</v>
      </c>
      <c r="E49" s="8" t="str" cm="1">
        <f t="array" aca="1" ref="E49" ca="1">IF(INDIRECT("'Student_Record 1'!I" &amp; ROW())="", "", INDIRECT("'Student_Record 1'!I" &amp; ROW()))</f>
        <v>F</v>
      </c>
      <c r="F49" s="8" t="str" cm="1">
        <f t="array" aca="1" ref="F49" ca="1">IF(INDIRECT("'Student_Record 1'!O" &amp; ROW())="", "", INDIRECT("'Student_Record 1'!O" &amp; ROW()))</f>
        <v>OBC</v>
      </c>
      <c r="G49" s="11"/>
      <c r="I49" s="11"/>
      <c r="J49" s="11"/>
      <c r="K49" s="11"/>
      <c r="L49" s="11"/>
      <c r="M49" s="11"/>
      <c r="N49" s="11"/>
      <c r="O49" s="11"/>
      <c r="P49" s="11"/>
      <c r="Q49" s="11"/>
    </row>
    <row r="50" spans="1:17" x14ac:dyDescent="0.25">
      <c r="A50" s="8" cm="1">
        <f t="array" aca="1" ref="A50" ca="1">IF(INDIRECT("'Student_Record 1'!A" &amp; ROW())="", "", INDIRECT("'Student_Record 1'!A" &amp; ROW()))</f>
        <v>3</v>
      </c>
      <c r="B50" s="8" cm="1">
        <f t="array" aca="1" ref="B50" ca="1">IF(INDIRECT("'Student_Record 1'!C" &amp; ROW())="", "", INDIRECT("'Student_Record 1'!C" &amp; ROW()))</f>
        <v>872</v>
      </c>
      <c r="C50" s="8" t="str" cm="1">
        <f t="array" aca="1" ref="C50" ca="1">IF(INDIRECT("'Student_Record 1'!E" &amp; ROW())="", "", INDIRECT("'Student_Record 1'!E" &amp; ROW()))</f>
        <v>Monika</v>
      </c>
      <c r="D50" s="8" t="str" cm="1">
        <f t="array" aca="1" ref="D50" ca="1">IF(INDIRECT("'Student_Record 1'!G" &amp; ROW())="", "", INDIRECT("'Student_Record 1'!G" &amp; ROW()))</f>
        <v>Kanaram</v>
      </c>
      <c r="E50" s="8" t="str" cm="1">
        <f t="array" aca="1" ref="E50" ca="1">IF(INDIRECT("'Student_Record 1'!I" &amp; ROW())="", "", INDIRECT("'Student_Record 1'!I" &amp; ROW()))</f>
        <v>F</v>
      </c>
      <c r="F50" s="8" t="str" cm="1">
        <f t="array" aca="1" ref="F50" ca="1">IF(INDIRECT("'Student_Record 1'!O" &amp; ROW())="", "", INDIRECT("'Student_Record 1'!O" &amp; ROW()))</f>
        <v>OBC</v>
      </c>
      <c r="G50" s="11"/>
      <c r="I50" s="11"/>
      <c r="J50" s="11"/>
      <c r="K50" s="11"/>
      <c r="L50" s="11"/>
      <c r="M50" s="11"/>
      <c r="N50" s="11"/>
      <c r="O50" s="11"/>
      <c r="P50" s="11"/>
      <c r="Q50" s="11"/>
    </row>
    <row r="51" spans="1:17" x14ac:dyDescent="0.25">
      <c r="A51" s="8" cm="1">
        <f t="array" aca="1" ref="A51" ca="1">IF(INDIRECT("'Student_Record 1'!A" &amp; ROW())="", "", INDIRECT("'Student_Record 1'!A" &amp; ROW()))</f>
        <v>3</v>
      </c>
      <c r="B51" s="8" cm="1">
        <f t="array" aca="1" ref="B51" ca="1">IF(INDIRECT("'Student_Record 1'!C" &amp; ROW())="", "", INDIRECT("'Student_Record 1'!C" &amp; ROW()))</f>
        <v>801</v>
      </c>
      <c r="C51" s="8" t="str" cm="1">
        <f t="array" aca="1" ref="C51" ca="1">IF(INDIRECT("'Student_Record 1'!E" &amp; ROW())="", "", INDIRECT("'Student_Record 1'!E" &amp; ROW()))</f>
        <v>Nitesh Jat</v>
      </c>
      <c r="D51" s="8" t="str" cm="1">
        <f t="array" aca="1" ref="D51" ca="1">IF(INDIRECT("'Student_Record 1'!G" &amp; ROW())="", "", INDIRECT("'Student_Record 1'!G" &amp; ROW()))</f>
        <v>Sukhdev Jat</v>
      </c>
      <c r="E51" s="8" t="str" cm="1">
        <f t="array" aca="1" ref="E51" ca="1">IF(INDIRECT("'Student_Record 1'!I" &amp; ROW())="", "", INDIRECT("'Student_Record 1'!I" &amp; ROW()))</f>
        <v>M</v>
      </c>
      <c r="F51" s="8" t="str" cm="1">
        <f t="array" aca="1" ref="F51" ca="1">IF(INDIRECT("'Student_Record 1'!O" &amp; ROW())="", "", INDIRECT("'Student_Record 1'!O" &amp; ROW()))</f>
        <v>OBC</v>
      </c>
      <c r="G51" s="11"/>
      <c r="I51" s="11"/>
      <c r="J51" s="11"/>
      <c r="K51" s="11"/>
      <c r="L51" s="11"/>
      <c r="M51" s="11"/>
      <c r="N51" s="11"/>
      <c r="O51" s="11"/>
      <c r="P51" s="11"/>
      <c r="Q51" s="11"/>
    </row>
    <row r="52" spans="1:17" x14ac:dyDescent="0.25">
      <c r="A52" s="8" cm="1">
        <f t="array" aca="1" ref="A52" ca="1">IF(INDIRECT("'Student_Record 1'!A" &amp; ROW())="", "", INDIRECT("'Student_Record 1'!A" &amp; ROW()))</f>
        <v>3</v>
      </c>
      <c r="B52" s="8" cm="1">
        <f t="array" aca="1" ref="B52" ca="1">IF(INDIRECT("'Student_Record 1'!C" &amp; ROW())="", "", INDIRECT("'Student_Record 1'!C" &amp; ROW()))</f>
        <v>766</v>
      </c>
      <c r="C52" s="8" t="str" cm="1">
        <f t="array" aca="1" ref="C52" ca="1">IF(INDIRECT("'Student_Record 1'!E" &amp; ROW())="", "", INDIRECT("'Student_Record 1'!E" &amp; ROW()))</f>
        <v>Rakesh</v>
      </c>
      <c r="D52" s="8" t="str" cm="1">
        <f t="array" aca="1" ref="D52" ca="1">IF(INDIRECT("'Student_Record 1'!G" &amp; ROW())="", "", INDIRECT("'Student_Record 1'!G" &amp; ROW()))</f>
        <v>Heamraj</v>
      </c>
      <c r="E52" s="8" t="str" cm="1">
        <f t="array" aca="1" ref="E52" ca="1">IF(INDIRECT("'Student_Record 1'!I" &amp; ROW())="", "", INDIRECT("'Student_Record 1'!I" &amp; ROW()))</f>
        <v>M</v>
      </c>
      <c r="F52" s="8" t="str" cm="1">
        <f t="array" aca="1" ref="F52" ca="1">IF(INDIRECT("'Student_Record 1'!O" &amp; ROW())="", "", INDIRECT("'Student_Record 1'!O" &amp; ROW()))</f>
        <v>OBC</v>
      </c>
      <c r="G52" s="11"/>
      <c r="I52" s="11"/>
      <c r="J52" s="11"/>
      <c r="K52" s="11"/>
      <c r="L52" s="11"/>
      <c r="M52" s="11"/>
      <c r="N52" s="11"/>
      <c r="O52" s="11"/>
      <c r="P52" s="11"/>
      <c r="Q52" s="11"/>
    </row>
    <row r="53" spans="1:17" x14ac:dyDescent="0.25">
      <c r="A53" s="8" cm="1">
        <f t="array" aca="1" ref="A53" ca="1">IF(INDIRECT("'Student_Record 1'!A" &amp; ROW())="", "", INDIRECT("'Student_Record 1'!A" &amp; ROW()))</f>
        <v>3</v>
      </c>
      <c r="B53" s="8" cm="1">
        <f t="array" aca="1" ref="B53" ca="1">IF(INDIRECT("'Student_Record 1'!C" &amp; ROW())="", "", INDIRECT("'Student_Record 1'!C" &amp; ROW()))</f>
        <v>805</v>
      </c>
      <c r="C53" s="8" t="str" cm="1">
        <f t="array" aca="1" ref="C53" ca="1">IF(INDIRECT("'Student_Record 1'!E" &amp; ROW())="", "", INDIRECT("'Student_Record 1'!E" &amp; ROW()))</f>
        <v>Rihan Peenara</v>
      </c>
      <c r="D53" s="8" t="str" cm="1">
        <f t="array" aca="1" ref="D53" ca="1">IF(INDIRECT("'Student_Record 1'!G" &amp; ROW())="", "", INDIRECT("'Student_Record 1'!G" &amp; ROW()))</f>
        <v>Peeru Peenara</v>
      </c>
      <c r="E53" s="8" t="str" cm="1">
        <f t="array" aca="1" ref="E53" ca="1">IF(INDIRECT("'Student_Record 1'!I" &amp; ROW())="", "", INDIRECT("'Student_Record 1'!I" &amp; ROW()))</f>
        <v>M</v>
      </c>
      <c r="F53" s="8" t="str" cm="1">
        <f t="array" aca="1" ref="F53" ca="1">IF(INDIRECT("'Student_Record 1'!O" &amp; ROW())="", "", INDIRECT("'Student_Record 1'!O" &amp; ROW()))</f>
        <v>OBC</v>
      </c>
      <c r="G53" s="11"/>
      <c r="I53" s="11"/>
      <c r="J53" s="11"/>
      <c r="K53" s="11"/>
      <c r="L53" s="11"/>
      <c r="M53" s="11"/>
      <c r="N53" s="11"/>
      <c r="O53" s="11"/>
      <c r="P53" s="11"/>
      <c r="Q53" s="11"/>
    </row>
    <row r="54" spans="1:17" x14ac:dyDescent="0.25">
      <c r="A54" s="8" cm="1">
        <f t="array" aca="1" ref="A54" ca="1">IF(INDIRECT("'Student_Record 1'!A" &amp; ROW())="", "", INDIRECT("'Student_Record 1'!A" &amp; ROW()))</f>
        <v>3</v>
      </c>
      <c r="B54" s="8" cm="1">
        <f t="array" aca="1" ref="B54" ca="1">IF(INDIRECT("'Student_Record 1'!C" &amp; ROW())="", "", INDIRECT("'Student_Record 1'!C" &amp; ROW()))</f>
        <v>816</v>
      </c>
      <c r="C54" s="8" t="str" cm="1">
        <f t="array" aca="1" ref="C54" ca="1">IF(INDIRECT("'Student_Record 1'!E" &amp; ROW())="", "", INDIRECT("'Student_Record 1'!E" &amp; ROW()))</f>
        <v>Shimla</v>
      </c>
      <c r="D54" s="8" t="str" cm="1">
        <f t="array" aca="1" ref="D54" ca="1">IF(INDIRECT("'Student_Record 1'!G" &amp; ROW())="", "", INDIRECT("'Student_Record 1'!G" &amp; ROW()))</f>
        <v>Ramraj Jat</v>
      </c>
      <c r="E54" s="8" t="str" cm="1">
        <f t="array" aca="1" ref="E54" ca="1">IF(INDIRECT("'Student_Record 1'!I" &amp; ROW())="", "", INDIRECT("'Student_Record 1'!I" &amp; ROW()))</f>
        <v>F</v>
      </c>
      <c r="F54" s="8" t="str" cm="1">
        <f t="array" aca="1" ref="F54" ca="1">IF(INDIRECT("'Student_Record 1'!O" &amp; ROW())="", "", INDIRECT("'Student_Record 1'!O" &amp; ROW()))</f>
        <v>OBC</v>
      </c>
      <c r="G54" s="11"/>
      <c r="I54" s="11"/>
      <c r="J54" s="11"/>
      <c r="K54" s="11"/>
      <c r="L54" s="11"/>
      <c r="M54" s="11"/>
      <c r="N54" s="11"/>
      <c r="O54" s="11"/>
      <c r="P54" s="11"/>
      <c r="Q54" s="11"/>
    </row>
    <row r="55" spans="1:17" x14ac:dyDescent="0.25">
      <c r="A55" s="8" cm="1">
        <f t="array" aca="1" ref="A55" ca="1">IF(INDIRECT("'Student_Record 1'!A" &amp; ROW())="", "", INDIRECT("'Student_Record 1'!A" &amp; ROW()))</f>
        <v>3</v>
      </c>
      <c r="B55" s="8" cm="1">
        <f t="array" aca="1" ref="B55" ca="1">IF(INDIRECT("'Student_Record 1'!C" &amp; ROW())="", "", INDIRECT("'Student_Record 1'!C" &amp; ROW()))</f>
        <v>760</v>
      </c>
      <c r="C55" s="8" t="str" cm="1">
        <f t="array" aca="1" ref="C55" ca="1">IF(INDIRECT("'Student_Record 1'!E" &amp; ROW())="", "", INDIRECT("'Student_Record 1'!E" &amp; ROW()))</f>
        <v>Tannu</v>
      </c>
      <c r="D55" s="8" t="str" cm="1">
        <f t="array" aca="1" ref="D55" ca="1">IF(INDIRECT("'Student_Record 1'!G" &amp; ROW())="", "", INDIRECT("'Student_Record 1'!G" &amp; ROW()))</f>
        <v>Sonu</v>
      </c>
      <c r="E55" s="8" t="str" cm="1">
        <f t="array" aca="1" ref="E55" ca="1">IF(INDIRECT("'Student_Record 1'!I" &amp; ROW())="", "", INDIRECT("'Student_Record 1'!I" &amp; ROW()))</f>
        <v>F</v>
      </c>
      <c r="F55" s="8" t="str" cm="1">
        <f t="array" aca="1" ref="F55" ca="1">IF(INDIRECT("'Student_Record 1'!O" &amp; ROW())="", "", INDIRECT("'Student_Record 1'!O" &amp; ROW()))</f>
        <v>SC</v>
      </c>
      <c r="G55" s="11"/>
      <c r="I55" s="11"/>
      <c r="J55" s="11"/>
      <c r="K55" s="11"/>
      <c r="L55" s="11"/>
      <c r="M55" s="11"/>
      <c r="N55" s="11"/>
      <c r="O55" s="11"/>
      <c r="P55" s="11"/>
      <c r="Q55" s="11"/>
    </row>
    <row r="56" spans="1:17" x14ac:dyDescent="0.25">
      <c r="A56" s="8" cm="1">
        <f t="array" aca="1" ref="A56" ca="1">IF(INDIRECT("'Student_Record 1'!A" &amp; ROW())="", "", INDIRECT("'Student_Record 1'!A" &amp; ROW()))</f>
        <v>3</v>
      </c>
      <c r="B56" s="8" cm="1">
        <f t="array" aca="1" ref="B56" ca="1">IF(INDIRECT("'Student_Record 1'!C" &amp; ROW())="", "", INDIRECT("'Student_Record 1'!C" &amp; ROW()))</f>
        <v>768</v>
      </c>
      <c r="C56" s="8" t="str" cm="1">
        <f t="array" aca="1" ref="C56" ca="1">IF(INDIRECT("'Student_Record 1'!E" &amp; ROW())="", "", INDIRECT("'Student_Record 1'!E" &amp; ROW()))</f>
        <v>Virat</v>
      </c>
      <c r="D56" s="8" t="str" cm="1">
        <f t="array" aca="1" ref="D56" ca="1">IF(INDIRECT("'Student_Record 1'!G" &amp; ROW())="", "", INDIRECT("'Student_Record 1'!G" &amp; ROW()))</f>
        <v>Ramraj</v>
      </c>
      <c r="E56" s="8" t="str" cm="1">
        <f t="array" aca="1" ref="E56" ca="1">IF(INDIRECT("'Student_Record 1'!I" &amp; ROW())="", "", INDIRECT("'Student_Record 1'!I" &amp; ROW()))</f>
        <v>M</v>
      </c>
      <c r="F56" s="8" t="str" cm="1">
        <f t="array" aca="1" ref="F56" ca="1">IF(INDIRECT("'Student_Record 1'!O" &amp; ROW())="", "", INDIRECT("'Student_Record 1'!O" &amp; ROW()))</f>
        <v>SC</v>
      </c>
      <c r="G56" s="11"/>
      <c r="I56" s="11"/>
      <c r="J56" s="11"/>
      <c r="K56" s="11"/>
      <c r="L56" s="11"/>
      <c r="M56" s="11"/>
      <c r="N56" s="11"/>
      <c r="O56" s="11"/>
      <c r="P56" s="11"/>
      <c r="Q56" s="11"/>
    </row>
    <row r="57" spans="1:17" x14ac:dyDescent="0.25">
      <c r="A57" s="8" cm="1">
        <f t="array" aca="1" ref="A57" ca="1">IF(INDIRECT("'Student_Record 1'!A" &amp; ROW())="", "", INDIRECT("'Student_Record 1'!A" &amp; ROW()))</f>
        <v>4</v>
      </c>
      <c r="B57" s="8" cm="1">
        <f t="array" aca="1" ref="B57" ca="1">IF(INDIRECT("'Student_Record 1'!C" &amp; ROW())="", "", INDIRECT("'Student_Record 1'!C" &amp; ROW()))</f>
        <v>840</v>
      </c>
      <c r="C57" s="8" t="str" cm="1">
        <f t="array" aca="1" ref="C57" ca="1">IF(INDIRECT("'Student_Record 1'!E" &amp; ROW())="", "", INDIRECT("'Student_Record 1'!E" &amp; ROW()))</f>
        <v>Anju</v>
      </c>
      <c r="D57" s="8" t="str" cm="1">
        <f t="array" aca="1" ref="D57" ca="1">IF(INDIRECT("'Student_Record 1'!G" &amp; ROW())="", "", INDIRECT("'Student_Record 1'!G" &amp; ROW()))</f>
        <v>Mahaveer Bheel</v>
      </c>
      <c r="E57" s="8" t="str" cm="1">
        <f t="array" aca="1" ref="E57" ca="1">IF(INDIRECT("'Student_Record 1'!I" &amp; ROW())="", "", INDIRECT("'Student_Record 1'!I" &amp; ROW()))</f>
        <v>F</v>
      </c>
      <c r="F57" s="8" t="str" cm="1">
        <f t="array" aca="1" ref="F57" ca="1">IF(INDIRECT("'Student_Record 1'!O" &amp; ROW())="", "", INDIRECT("'Student_Record 1'!O" &amp; ROW()))</f>
        <v>ST</v>
      </c>
      <c r="G57" s="11"/>
      <c r="I57" s="11"/>
      <c r="J57" s="11"/>
      <c r="K57" s="11"/>
      <c r="L57" s="11"/>
      <c r="M57" s="11"/>
      <c r="N57" s="11"/>
      <c r="O57" s="11"/>
      <c r="P57" s="11"/>
      <c r="Q57" s="11"/>
    </row>
    <row r="58" spans="1:17" x14ac:dyDescent="0.25">
      <c r="A58" s="8" cm="1">
        <f t="array" aca="1" ref="A58" ca="1">IF(INDIRECT("'Student_Record 1'!A" &amp; ROW())="", "", INDIRECT("'Student_Record 1'!A" &amp; ROW()))</f>
        <v>4</v>
      </c>
      <c r="B58" s="8" cm="1">
        <f t="array" aca="1" ref="B58" ca="1">IF(INDIRECT("'Student_Record 1'!C" &amp; ROW())="", "", INDIRECT("'Student_Record 1'!C" &amp; ROW()))</f>
        <v>717</v>
      </c>
      <c r="C58" s="8" t="str" cm="1">
        <f t="array" aca="1" ref="C58" ca="1">IF(INDIRECT("'Student_Record 1'!E" &amp; ROW())="", "", INDIRECT("'Student_Record 1'!E" &amp; ROW()))</f>
        <v>Anju</v>
      </c>
      <c r="D58" s="8" t="str" cm="1">
        <f t="array" aca="1" ref="D58" ca="1">IF(INDIRECT("'Student_Record 1'!G" &amp; ROW())="", "", INDIRECT("'Student_Record 1'!G" &amp; ROW()))</f>
        <v>Dhanraj Choudhary</v>
      </c>
      <c r="E58" s="8" t="str" cm="1">
        <f t="array" aca="1" ref="E58" ca="1">IF(INDIRECT("'Student_Record 1'!I" &amp; ROW())="", "", INDIRECT("'Student_Record 1'!I" &amp; ROW()))</f>
        <v>M</v>
      </c>
      <c r="F58" s="8" t="str" cm="1">
        <f t="array" aca="1" ref="F58" ca="1">IF(INDIRECT("'Student_Record 1'!O" &amp; ROW())="", "", INDIRECT("'Student_Record 1'!O" &amp; ROW()))</f>
        <v>OBC</v>
      </c>
      <c r="G58" s="11"/>
      <c r="I58" s="11"/>
      <c r="J58" s="11"/>
      <c r="K58" s="11"/>
      <c r="L58" s="11"/>
      <c r="M58" s="11"/>
      <c r="N58" s="11"/>
      <c r="O58" s="11"/>
      <c r="P58" s="11"/>
      <c r="Q58" s="11"/>
    </row>
    <row r="59" spans="1:17" x14ac:dyDescent="0.25">
      <c r="A59" s="8" cm="1">
        <f t="array" aca="1" ref="A59" ca="1">IF(INDIRECT("'Student_Record 1'!A" &amp; ROW())="", "", INDIRECT("'Student_Record 1'!A" &amp; ROW()))</f>
        <v>4</v>
      </c>
      <c r="B59" s="8" cm="1">
        <f t="array" aca="1" ref="B59" ca="1">IF(INDIRECT("'Student_Record 1'!C" &amp; ROW())="", "", INDIRECT("'Student_Record 1'!C" &amp; ROW()))</f>
        <v>677</v>
      </c>
      <c r="C59" s="8" t="str" cm="1">
        <f t="array" aca="1" ref="C59" ca="1">IF(INDIRECT("'Student_Record 1'!E" &amp; ROW())="", "", INDIRECT("'Student_Record 1'!E" &amp; ROW()))</f>
        <v>Astha Jat</v>
      </c>
      <c r="D59" s="8" t="str" cm="1">
        <f t="array" aca="1" ref="D59" ca="1">IF(INDIRECT("'Student_Record 1'!G" &amp; ROW())="", "", INDIRECT("'Student_Record 1'!G" &amp; ROW()))</f>
        <v>Ganesh Jat</v>
      </c>
      <c r="E59" s="8" t="str" cm="1">
        <f t="array" aca="1" ref="E59" ca="1">IF(INDIRECT("'Student_Record 1'!I" &amp; ROW())="", "", INDIRECT("'Student_Record 1'!I" &amp; ROW()))</f>
        <v>F</v>
      </c>
      <c r="F59" s="8" t="str" cm="1">
        <f t="array" aca="1" ref="F59" ca="1">IF(INDIRECT("'Student_Record 1'!O" &amp; ROW())="", "", INDIRECT("'Student_Record 1'!O" &amp; ROW()))</f>
        <v>OBC</v>
      </c>
      <c r="G59" s="11"/>
      <c r="I59" s="11"/>
      <c r="J59" s="11"/>
      <c r="K59" s="11"/>
      <c r="L59" s="11"/>
      <c r="M59" s="11"/>
      <c r="N59" s="11"/>
      <c r="O59" s="11"/>
      <c r="P59" s="11"/>
      <c r="Q59" s="11"/>
    </row>
    <row r="60" spans="1:17" x14ac:dyDescent="0.25">
      <c r="A60" s="8" cm="1">
        <f t="array" aca="1" ref="A60" ca="1">IF(INDIRECT("'Student_Record 1'!A" &amp; ROW())="", "", INDIRECT("'Student_Record 1'!A" &amp; ROW()))</f>
        <v>4</v>
      </c>
      <c r="B60" s="8" cm="1">
        <f t="array" aca="1" ref="B60" ca="1">IF(INDIRECT("'Student_Record 1'!C" &amp; ROW())="", "", INDIRECT("'Student_Record 1'!C" &amp; ROW()))</f>
        <v>684</v>
      </c>
      <c r="C60" s="8" t="str" cm="1">
        <f t="array" aca="1" ref="C60" ca="1">IF(INDIRECT("'Student_Record 1'!E" &amp; ROW())="", "", INDIRECT("'Student_Record 1'!E" &amp; ROW()))</f>
        <v>Bhanu Jat</v>
      </c>
      <c r="D60" s="8" t="str" cm="1">
        <f t="array" aca="1" ref="D60" ca="1">IF(INDIRECT("'Student_Record 1'!G" &amp; ROW())="", "", INDIRECT("'Student_Record 1'!G" &amp; ROW()))</f>
        <v>Hariram</v>
      </c>
      <c r="E60" s="8" t="str" cm="1">
        <f t="array" aca="1" ref="E60" ca="1">IF(INDIRECT("'Student_Record 1'!I" &amp; ROW())="", "", INDIRECT("'Student_Record 1'!I" &amp; ROW()))</f>
        <v>M</v>
      </c>
      <c r="F60" s="8" t="str" cm="1">
        <f t="array" aca="1" ref="F60" ca="1">IF(INDIRECT("'Student_Record 1'!O" &amp; ROW())="", "", INDIRECT("'Student_Record 1'!O" &amp; ROW()))</f>
        <v>OBC</v>
      </c>
      <c r="G60" s="11"/>
      <c r="I60" s="11"/>
      <c r="J60" s="11"/>
      <c r="K60" s="11"/>
      <c r="L60" s="11"/>
      <c r="M60" s="11"/>
      <c r="N60" s="11"/>
      <c r="O60" s="11"/>
      <c r="P60" s="11"/>
      <c r="Q60" s="11"/>
    </row>
    <row r="61" spans="1:17" x14ac:dyDescent="0.25">
      <c r="A61" s="8" cm="1">
        <f t="array" aca="1" ref="A61" ca="1">IF(INDIRECT("'Student_Record 1'!A" &amp; ROW())="", "", INDIRECT("'Student_Record 1'!A" &amp; ROW()))</f>
        <v>4</v>
      </c>
      <c r="B61" s="8" cm="1">
        <f t="array" aca="1" ref="B61" ca="1">IF(INDIRECT("'Student_Record 1'!C" &amp; ROW())="", "", INDIRECT("'Student_Record 1'!C" &amp; ROW()))</f>
        <v>719</v>
      </c>
      <c r="C61" s="8" t="str" cm="1">
        <f t="array" aca="1" ref="C61" ca="1">IF(INDIRECT("'Student_Record 1'!E" &amp; ROW())="", "", INDIRECT("'Student_Record 1'!E" &amp; ROW()))</f>
        <v>Dilkhush</v>
      </c>
      <c r="D61" s="8" t="str" cm="1">
        <f t="array" aca="1" ref="D61" ca="1">IF(INDIRECT("'Student_Record 1'!G" &amp; ROW())="", "", INDIRECT("'Student_Record 1'!G" &amp; ROW()))</f>
        <v>Mahavee Bhil</v>
      </c>
      <c r="E61" s="8" t="str" cm="1">
        <f t="array" aca="1" ref="E61" ca="1">IF(INDIRECT("'Student_Record 1'!I" &amp; ROW())="", "", INDIRECT("'Student_Record 1'!I" &amp; ROW()))</f>
        <v>M</v>
      </c>
      <c r="F61" s="8" t="str" cm="1">
        <f t="array" aca="1" ref="F61" ca="1">IF(INDIRECT("'Student_Record 1'!O" &amp; ROW())="", "", INDIRECT("'Student_Record 1'!O" &amp; ROW()))</f>
        <v>ST</v>
      </c>
      <c r="G61" s="11"/>
      <c r="I61" s="11"/>
      <c r="J61" s="11"/>
      <c r="K61" s="11"/>
      <c r="L61" s="11"/>
      <c r="M61" s="11"/>
      <c r="N61" s="11"/>
      <c r="O61" s="11"/>
      <c r="P61" s="11"/>
      <c r="Q61" s="11"/>
    </row>
    <row r="62" spans="1:17" x14ac:dyDescent="0.25">
      <c r="A62" s="8" cm="1">
        <f t="array" aca="1" ref="A62" ca="1">IF(INDIRECT("'Student_Record 1'!A" &amp; ROW())="", "", INDIRECT("'Student_Record 1'!A" &amp; ROW()))</f>
        <v>4</v>
      </c>
      <c r="B62" s="8" cm="1">
        <f t="array" aca="1" ref="B62" ca="1">IF(INDIRECT("'Student_Record 1'!C" &amp; ROW())="", "", INDIRECT("'Student_Record 1'!C" &amp; ROW()))</f>
        <v>715</v>
      </c>
      <c r="C62" s="8" t="str" cm="1">
        <f t="array" aca="1" ref="C62" ca="1">IF(INDIRECT("'Student_Record 1'!E" &amp; ROW())="", "", INDIRECT("'Student_Record 1'!E" &amp; ROW()))</f>
        <v>Jiya Nat</v>
      </c>
      <c r="D62" s="8" t="str" cm="1">
        <f t="array" aca="1" ref="D62" ca="1">IF(INDIRECT("'Student_Record 1'!G" &amp; ROW())="", "", INDIRECT("'Student_Record 1'!G" &amp; ROW()))</f>
        <v>Raju</v>
      </c>
      <c r="E62" s="8" t="str" cm="1">
        <f t="array" aca="1" ref="E62" ca="1">IF(INDIRECT("'Student_Record 1'!I" &amp; ROW())="", "", INDIRECT("'Student_Record 1'!I" &amp; ROW()))</f>
        <v>F</v>
      </c>
      <c r="F62" s="8" t="str" cm="1">
        <f t="array" aca="1" ref="F62" ca="1">IF(INDIRECT("'Student_Record 1'!O" &amp; ROW())="", "", INDIRECT("'Student_Record 1'!O" &amp; ROW()))</f>
        <v>SC</v>
      </c>
      <c r="G62" s="11"/>
      <c r="I62" s="11"/>
      <c r="J62" s="11"/>
      <c r="K62" s="11"/>
      <c r="L62" s="11"/>
      <c r="M62" s="11"/>
      <c r="N62" s="11"/>
      <c r="O62" s="11"/>
      <c r="P62" s="11"/>
      <c r="Q62" s="11"/>
    </row>
    <row r="63" spans="1:17" x14ac:dyDescent="0.25">
      <c r="A63" s="8" cm="1">
        <f t="array" aca="1" ref="A63" ca="1">IF(INDIRECT("'Student_Record 1'!A" &amp; ROW())="", "", INDIRECT("'Student_Record 1'!A" &amp; ROW()))</f>
        <v>4</v>
      </c>
      <c r="B63" s="8" cm="1">
        <f t="array" aca="1" ref="B63" ca="1">IF(INDIRECT("'Student_Record 1'!C" &amp; ROW())="", "", INDIRECT("'Student_Record 1'!C" &amp; ROW()))</f>
        <v>835</v>
      </c>
      <c r="C63" s="8" t="str" cm="1">
        <f t="array" aca="1" ref="C63" ca="1">IF(INDIRECT("'Student_Record 1'!E" &amp; ROW())="", "", INDIRECT("'Student_Record 1'!E" &amp; ROW()))</f>
        <v>Kali Jat</v>
      </c>
      <c r="D63" s="8" t="str" cm="1">
        <f t="array" aca="1" ref="D63" ca="1">IF(INDIRECT("'Student_Record 1'!G" &amp; ROW())="", "", INDIRECT("'Student_Record 1'!G" &amp; ROW()))</f>
        <v>Kailash</v>
      </c>
      <c r="E63" s="8" t="str" cm="1">
        <f t="array" aca="1" ref="E63" ca="1">IF(INDIRECT("'Student_Record 1'!I" &amp; ROW())="", "", INDIRECT("'Student_Record 1'!I" &amp; ROW()))</f>
        <v>F</v>
      </c>
      <c r="F63" s="8" t="str" cm="1">
        <f t="array" aca="1" ref="F63" ca="1">IF(INDIRECT("'Student_Record 1'!O" &amp; ROW())="", "", INDIRECT("'Student_Record 1'!O" &amp; ROW()))</f>
        <v>OBC</v>
      </c>
      <c r="G63" s="11"/>
      <c r="I63" s="11"/>
      <c r="J63" s="11"/>
      <c r="K63" s="11"/>
      <c r="L63" s="11"/>
      <c r="M63" s="11"/>
      <c r="N63" s="11"/>
      <c r="O63" s="11"/>
      <c r="P63" s="11"/>
      <c r="Q63" s="11"/>
    </row>
    <row r="64" spans="1:17" x14ac:dyDescent="0.25">
      <c r="A64" s="8" cm="1">
        <f t="array" aca="1" ref="A64" ca="1">IF(INDIRECT("'Student_Record 1'!A" &amp; ROW())="", "", INDIRECT("'Student_Record 1'!A" &amp; ROW()))</f>
        <v>4</v>
      </c>
      <c r="B64" s="8" cm="1">
        <f t="array" aca="1" ref="B64" ca="1">IF(INDIRECT("'Student_Record 1'!C" &amp; ROW())="", "", INDIRECT("'Student_Record 1'!C" &amp; ROW()))</f>
        <v>710</v>
      </c>
      <c r="C64" s="8" t="str" cm="1">
        <f t="array" aca="1" ref="C64" ca="1">IF(INDIRECT("'Student_Record 1'!E" &amp; ROW())="", "", INDIRECT("'Student_Record 1'!E" &amp; ROW()))</f>
        <v>Khushboo</v>
      </c>
      <c r="D64" s="8" t="str" cm="1">
        <f t="array" aca="1" ref="D64" ca="1">IF(INDIRECT("'Student_Record 1'!G" &amp; ROW())="", "", INDIRECT("'Student_Record 1'!G" &amp; ROW()))</f>
        <v>Mahaveer Meghavanshi</v>
      </c>
      <c r="E64" s="8" t="str" cm="1">
        <f t="array" aca="1" ref="E64" ca="1">IF(INDIRECT("'Student_Record 1'!I" &amp; ROW())="", "", INDIRECT("'Student_Record 1'!I" &amp; ROW()))</f>
        <v>F</v>
      </c>
      <c r="F64" s="8" t="str" cm="1">
        <f t="array" aca="1" ref="F64" ca="1">IF(INDIRECT("'Student_Record 1'!O" &amp; ROW())="", "", INDIRECT("'Student_Record 1'!O" &amp; ROW()))</f>
        <v>SC</v>
      </c>
      <c r="G64" s="11"/>
      <c r="I64" s="11"/>
      <c r="J64" s="11"/>
      <c r="K64" s="11"/>
      <c r="L64" s="11"/>
      <c r="M64" s="11"/>
      <c r="N64" s="11"/>
      <c r="O64" s="11"/>
      <c r="P64" s="11"/>
      <c r="Q64" s="11"/>
    </row>
    <row r="65" spans="1:17" x14ac:dyDescent="0.25">
      <c r="A65" s="8" cm="1">
        <f t="array" aca="1" ref="A65" ca="1">IF(INDIRECT("'Student_Record 1'!A" &amp; ROW())="", "", INDIRECT("'Student_Record 1'!A" &amp; ROW()))</f>
        <v>4</v>
      </c>
      <c r="B65" s="8" cm="1">
        <f t="array" aca="1" ref="B65" ca="1">IF(INDIRECT("'Student_Record 1'!C" &amp; ROW())="", "", INDIRECT("'Student_Record 1'!C" &amp; ROW()))</f>
        <v>702</v>
      </c>
      <c r="C65" s="8" t="str" cm="1">
        <f t="array" aca="1" ref="C65" ca="1">IF(INDIRECT("'Student_Record 1'!E" &amp; ROW())="", "", INDIRECT("'Student_Record 1'!E" &amp; ROW()))</f>
        <v>Kiran Bhil</v>
      </c>
      <c r="D65" s="8" t="str" cm="1">
        <f t="array" aca="1" ref="D65" ca="1">IF(INDIRECT("'Student_Record 1'!G" &amp; ROW())="", "", INDIRECT("'Student_Record 1'!G" &amp; ROW()))</f>
        <v>Bablu Bhil</v>
      </c>
      <c r="E65" s="8" t="str" cm="1">
        <f t="array" aca="1" ref="E65" ca="1">IF(INDIRECT("'Student_Record 1'!I" &amp; ROW())="", "", INDIRECT("'Student_Record 1'!I" &amp; ROW()))</f>
        <v>F</v>
      </c>
      <c r="F65" s="8" t="str" cm="1">
        <f t="array" aca="1" ref="F65" ca="1">IF(INDIRECT("'Student_Record 1'!O" &amp; ROW())="", "", INDIRECT("'Student_Record 1'!O" &amp; ROW()))</f>
        <v>ST</v>
      </c>
      <c r="G65" s="11"/>
      <c r="I65" s="11"/>
      <c r="J65" s="11"/>
      <c r="K65" s="11"/>
      <c r="L65" s="11"/>
      <c r="M65" s="11"/>
      <c r="N65" s="11"/>
      <c r="O65" s="11"/>
      <c r="P65" s="11"/>
      <c r="Q65" s="11"/>
    </row>
    <row r="66" spans="1:17" x14ac:dyDescent="0.25">
      <c r="A66" s="8" cm="1">
        <f t="array" aca="1" ref="A66" ca="1">IF(INDIRECT("'Student_Record 1'!A" &amp; ROW())="", "", INDIRECT("'Student_Record 1'!A" &amp; ROW()))</f>
        <v>4</v>
      </c>
      <c r="B66" s="8" cm="1">
        <f t="array" aca="1" ref="B66" ca="1">IF(INDIRECT("'Student_Record 1'!C" &amp; ROW())="", "", INDIRECT("'Student_Record 1'!C" &amp; ROW()))</f>
        <v>690</v>
      </c>
      <c r="C66" s="8" t="str" cm="1">
        <f t="array" aca="1" ref="C66" ca="1">IF(INDIRECT("'Student_Record 1'!E" &amp; ROW())="", "", INDIRECT("'Student_Record 1'!E" &amp; ROW()))</f>
        <v>Komal prajapat</v>
      </c>
      <c r="D66" s="8" t="str" cm="1">
        <f t="array" aca="1" ref="D66" ca="1">IF(INDIRECT("'Student_Record 1'!G" &amp; ROW())="", "", INDIRECT("'Student_Record 1'!G" &amp; ROW()))</f>
        <v>Panchu prajapat</v>
      </c>
      <c r="E66" s="8" t="str" cm="1">
        <f t="array" aca="1" ref="E66" ca="1">IF(INDIRECT("'Student_Record 1'!I" &amp; ROW())="", "", INDIRECT("'Student_Record 1'!I" &amp; ROW()))</f>
        <v>F</v>
      </c>
      <c r="F66" s="8" t="str" cm="1">
        <f t="array" aca="1" ref="F66" ca="1">IF(INDIRECT("'Student_Record 1'!O" &amp; ROW())="", "", INDIRECT("'Student_Record 1'!O" &amp; ROW()))</f>
        <v>OBC</v>
      </c>
      <c r="G66" s="11"/>
      <c r="I66" s="11"/>
      <c r="J66" s="11"/>
      <c r="K66" s="11"/>
      <c r="L66" s="11"/>
      <c r="M66" s="11"/>
      <c r="N66" s="11"/>
      <c r="O66" s="11"/>
      <c r="P66" s="11"/>
      <c r="Q66" s="11"/>
    </row>
    <row r="67" spans="1:17" x14ac:dyDescent="0.25">
      <c r="A67" s="8" cm="1">
        <f t="array" aca="1" ref="A67" ca="1">IF(INDIRECT("'Student_Record 1'!A" &amp; ROW())="", "", INDIRECT("'Student_Record 1'!A" &amp; ROW()))</f>
        <v>4</v>
      </c>
      <c r="B67" s="8" cm="1">
        <f t="array" aca="1" ref="B67" ca="1">IF(INDIRECT("'Student_Record 1'!C" &amp; ROW())="", "", INDIRECT("'Student_Record 1'!C" &amp; ROW()))</f>
        <v>735</v>
      </c>
      <c r="C67" s="8" t="str" cm="1">
        <f t="array" aca="1" ref="C67" ca="1">IF(INDIRECT("'Student_Record 1'!E" &amp; ROW())="", "", INDIRECT("'Student_Record 1'!E" &amp; ROW()))</f>
        <v>Mangli Prajapat</v>
      </c>
      <c r="D67" s="8" t="str" cm="1">
        <f t="array" aca="1" ref="D67" ca="1">IF(INDIRECT("'Student_Record 1'!G" &amp; ROW())="", "", INDIRECT("'Student_Record 1'!G" &amp; ROW()))</f>
        <v>Bhagchand Prajapat</v>
      </c>
      <c r="E67" s="8" t="str" cm="1">
        <f t="array" aca="1" ref="E67" ca="1">IF(INDIRECT("'Student_Record 1'!I" &amp; ROW())="", "", INDIRECT("'Student_Record 1'!I" &amp; ROW()))</f>
        <v>F</v>
      </c>
      <c r="F67" s="8" t="str" cm="1">
        <f t="array" aca="1" ref="F67" ca="1">IF(INDIRECT("'Student_Record 1'!O" &amp; ROW())="", "", INDIRECT("'Student_Record 1'!O" &amp; ROW()))</f>
        <v>OBC</v>
      </c>
      <c r="G67" s="11"/>
      <c r="I67" s="11"/>
      <c r="J67" s="11"/>
      <c r="K67" s="11"/>
      <c r="L67" s="11"/>
      <c r="M67" s="11"/>
      <c r="N67" s="11"/>
      <c r="O67" s="11"/>
      <c r="P67" s="11"/>
      <c r="Q67" s="11"/>
    </row>
    <row r="68" spans="1:17" x14ac:dyDescent="0.25">
      <c r="A68" s="8" cm="1">
        <f t="array" aca="1" ref="A68" ca="1">IF(INDIRECT("'Student_Record 1'!A" &amp; ROW())="", "", INDIRECT("'Student_Record 1'!A" &amp; ROW()))</f>
        <v>4</v>
      </c>
      <c r="B68" s="8" cm="1">
        <f t="array" aca="1" ref="B68" ca="1">IF(INDIRECT("'Student_Record 1'!C" &amp; ROW())="", "", INDIRECT("'Student_Record 1'!C" &amp; ROW()))</f>
        <v>606</v>
      </c>
      <c r="C68" s="8" t="str" cm="1">
        <f t="array" aca="1" ref="C68" ca="1">IF(INDIRECT("'Student_Record 1'!E" &amp; ROW())="", "", INDIRECT("'Student_Record 1'!E" &amp; ROW()))</f>
        <v>Mansha Prajapat</v>
      </c>
      <c r="D68" s="8" t="str" cm="1">
        <f t="array" aca="1" ref="D68" ca="1">IF(INDIRECT("'Student_Record 1'!G" &amp; ROW())="", "", INDIRECT("'Student_Record 1'!G" &amp; ROW()))</f>
        <v>Prakash Prajapat</v>
      </c>
      <c r="E68" s="8" t="str" cm="1">
        <f t="array" aca="1" ref="E68" ca="1">IF(INDIRECT("'Student_Record 1'!I" &amp; ROW())="", "", INDIRECT("'Student_Record 1'!I" &amp; ROW()))</f>
        <v>F</v>
      </c>
      <c r="F68" s="8" t="str" cm="1">
        <f t="array" aca="1" ref="F68" ca="1">IF(INDIRECT("'Student_Record 1'!O" &amp; ROW())="", "", INDIRECT("'Student_Record 1'!O" &amp; ROW()))</f>
        <v>OBC</v>
      </c>
      <c r="G68" s="11"/>
      <c r="I68" s="11"/>
      <c r="J68" s="11"/>
      <c r="K68" s="11"/>
      <c r="L68" s="11"/>
      <c r="M68" s="11"/>
      <c r="N68" s="11"/>
      <c r="O68" s="11"/>
      <c r="P68" s="11"/>
      <c r="Q68" s="11"/>
    </row>
    <row r="69" spans="1:17" x14ac:dyDescent="0.25">
      <c r="A69" s="8" cm="1">
        <f t="array" aca="1" ref="A69" ca="1">IF(INDIRECT("'Student_Record 1'!A" &amp; ROW())="", "", INDIRECT("'Student_Record 1'!A" &amp; ROW()))</f>
        <v>4</v>
      </c>
      <c r="B69" s="8" cm="1">
        <f t="array" aca="1" ref="B69" ca="1">IF(INDIRECT("'Student_Record 1'!C" &amp; ROW())="", "", INDIRECT("'Student_Record 1'!C" &amp; ROW()))</f>
        <v>676</v>
      </c>
      <c r="C69" s="8" t="str" cm="1">
        <f t="array" aca="1" ref="C69" ca="1">IF(INDIRECT("'Student_Record 1'!E" &amp; ROW())="", "", INDIRECT("'Student_Record 1'!E" &amp; ROW()))</f>
        <v>Pawan Prajapat</v>
      </c>
      <c r="D69" s="8" t="str" cm="1">
        <f t="array" aca="1" ref="D69" ca="1">IF(INDIRECT("'Student_Record 1'!G" &amp; ROW())="", "", INDIRECT("'Student_Record 1'!G" &amp; ROW()))</f>
        <v>Basram Prajapat</v>
      </c>
      <c r="E69" s="8" t="str" cm="1">
        <f t="array" aca="1" ref="E69" ca="1">IF(INDIRECT("'Student_Record 1'!I" &amp; ROW())="", "", INDIRECT("'Student_Record 1'!I" &amp; ROW()))</f>
        <v>M</v>
      </c>
      <c r="F69" s="8" t="str" cm="1">
        <f t="array" aca="1" ref="F69" ca="1">IF(INDIRECT("'Student_Record 1'!O" &amp; ROW())="", "", INDIRECT("'Student_Record 1'!O" &amp; ROW()))</f>
        <v>OBC</v>
      </c>
      <c r="G69" s="11"/>
      <c r="I69" s="11"/>
      <c r="J69" s="11"/>
      <c r="K69" s="11"/>
      <c r="L69" s="11"/>
      <c r="M69" s="11"/>
      <c r="N69" s="11"/>
      <c r="O69" s="11"/>
      <c r="P69" s="11"/>
      <c r="Q69" s="11"/>
    </row>
    <row r="70" spans="1:17" x14ac:dyDescent="0.25">
      <c r="A70" s="8" cm="1">
        <f t="array" aca="1" ref="A70" ca="1">IF(INDIRECT("'Student_Record 1'!A" &amp; ROW())="", "", INDIRECT("'Student_Record 1'!A" &amp; ROW()))</f>
        <v>4</v>
      </c>
      <c r="B70" s="8" cm="1">
        <f t="array" aca="1" ref="B70" ca="1">IF(INDIRECT("'Student_Record 1'!C" &amp; ROW())="", "", INDIRECT("'Student_Record 1'!C" &amp; ROW()))</f>
        <v>726</v>
      </c>
      <c r="C70" s="8" t="str" cm="1">
        <f t="array" aca="1" ref="C70" ca="1">IF(INDIRECT("'Student_Record 1'!E" &amp; ROW())="", "", INDIRECT("'Student_Record 1'!E" &amp; ROW()))</f>
        <v>Pradeep Jat</v>
      </c>
      <c r="D70" s="8" t="str" cm="1">
        <f t="array" aca="1" ref="D70" ca="1">IF(INDIRECT("'Student_Record 1'!G" &amp; ROW())="", "", INDIRECT("'Student_Record 1'!G" &amp; ROW()))</f>
        <v>Sukhdev Jat</v>
      </c>
      <c r="E70" s="8" t="str" cm="1">
        <f t="array" aca="1" ref="E70" ca="1">IF(INDIRECT("'Student_Record 1'!I" &amp; ROW())="", "", INDIRECT("'Student_Record 1'!I" &amp; ROW()))</f>
        <v>M</v>
      </c>
      <c r="F70" s="8" t="str" cm="1">
        <f t="array" aca="1" ref="F70" ca="1">IF(INDIRECT("'Student_Record 1'!O" &amp; ROW())="", "", INDIRECT("'Student_Record 1'!O" &amp; ROW()))</f>
        <v>OBC</v>
      </c>
      <c r="G70" s="11"/>
      <c r="I70" s="11"/>
      <c r="J70" s="11"/>
      <c r="K70" s="11"/>
      <c r="L70" s="11"/>
      <c r="M70" s="11"/>
      <c r="N70" s="11"/>
      <c r="O70" s="11"/>
      <c r="P70" s="11"/>
      <c r="Q70" s="11"/>
    </row>
    <row r="71" spans="1:17" x14ac:dyDescent="0.25">
      <c r="A71" s="8" cm="1">
        <f t="array" aca="1" ref="A71" ca="1">IF(INDIRECT("'Student_Record 1'!A" &amp; ROW())="", "", INDIRECT("'Student_Record 1'!A" &amp; ROW()))</f>
        <v>4</v>
      </c>
      <c r="B71" s="8" cm="1">
        <f t="array" aca="1" ref="B71" ca="1">IF(INDIRECT("'Student_Record 1'!C" &amp; ROW())="", "", INDIRECT("'Student_Record 1'!C" &amp; ROW()))</f>
        <v>752</v>
      </c>
      <c r="C71" s="8" t="str" cm="1">
        <f t="array" aca="1" ref="C71" ca="1">IF(INDIRECT("'Student_Record 1'!E" &amp; ROW())="", "", INDIRECT("'Student_Record 1'!E" &amp; ROW()))</f>
        <v>Pritam Choudhary</v>
      </c>
      <c r="D71" s="8" t="str" cm="1">
        <f t="array" aca="1" ref="D71" ca="1">IF(INDIRECT("'Student_Record 1'!G" &amp; ROW())="", "", INDIRECT("'Student_Record 1'!G" &amp; ROW()))</f>
        <v>Hariram</v>
      </c>
      <c r="E71" s="8" t="str" cm="1">
        <f t="array" aca="1" ref="E71" ca="1">IF(INDIRECT("'Student_Record 1'!I" &amp; ROW())="", "", INDIRECT("'Student_Record 1'!I" &amp; ROW()))</f>
        <v>M</v>
      </c>
      <c r="F71" s="8" t="str" cm="1">
        <f t="array" aca="1" ref="F71" ca="1">IF(INDIRECT("'Student_Record 1'!O" &amp; ROW())="", "", INDIRECT("'Student_Record 1'!O" &amp; ROW()))</f>
        <v>OBC</v>
      </c>
      <c r="G71" s="11"/>
      <c r="I71" s="11"/>
      <c r="J71" s="11"/>
      <c r="K71" s="11"/>
      <c r="L71" s="11"/>
      <c r="M71" s="11"/>
      <c r="N71" s="11"/>
      <c r="O71" s="11"/>
      <c r="P71" s="11"/>
      <c r="Q71" s="11"/>
    </row>
    <row r="72" spans="1:17" x14ac:dyDescent="0.25">
      <c r="A72" s="8" cm="1">
        <f t="array" aca="1" ref="A72" ca="1">IF(INDIRECT("'Student_Record 1'!A" &amp; ROW())="", "", INDIRECT("'Student_Record 1'!A" &amp; ROW()))</f>
        <v>4</v>
      </c>
      <c r="B72" s="8" cm="1">
        <f t="array" aca="1" ref="B72" ca="1">IF(INDIRECT("'Student_Record 1'!C" &amp; ROW())="", "", INDIRECT("'Student_Record 1'!C" &amp; ROW()))</f>
        <v>722</v>
      </c>
      <c r="C72" s="8" t="str" cm="1">
        <f t="array" aca="1" ref="C72" ca="1">IF(INDIRECT("'Student_Record 1'!E" &amp; ROW())="", "", INDIRECT("'Student_Record 1'!E" &amp; ROW()))</f>
        <v>Radhika Choudhari</v>
      </c>
      <c r="D72" s="8" t="str" cm="1">
        <f t="array" aca="1" ref="D72" ca="1">IF(INDIRECT("'Student_Record 1'!G" &amp; ROW())="", "", INDIRECT("'Student_Record 1'!G" &amp; ROW()))</f>
        <v>Kailash Chand</v>
      </c>
      <c r="E72" s="8" t="str" cm="1">
        <f t="array" aca="1" ref="E72" ca="1">IF(INDIRECT("'Student_Record 1'!I" &amp; ROW())="", "", INDIRECT("'Student_Record 1'!I" &amp; ROW()))</f>
        <v>F</v>
      </c>
      <c r="F72" s="8" t="str" cm="1">
        <f t="array" aca="1" ref="F72" ca="1">IF(INDIRECT("'Student_Record 1'!O" &amp; ROW())="", "", INDIRECT("'Student_Record 1'!O" &amp; ROW()))</f>
        <v>OBC</v>
      </c>
      <c r="G72" s="11"/>
      <c r="I72" s="11"/>
      <c r="J72" s="11"/>
      <c r="K72" s="11"/>
      <c r="L72" s="11"/>
      <c r="M72" s="11"/>
      <c r="N72" s="11"/>
      <c r="O72" s="11"/>
      <c r="P72" s="11"/>
      <c r="Q72" s="11"/>
    </row>
    <row r="73" spans="1:17" x14ac:dyDescent="0.25">
      <c r="A73" s="8" cm="1">
        <f t="array" aca="1" ref="A73" ca="1">IF(INDIRECT("'Student_Record 1'!A" &amp; ROW())="", "", INDIRECT("'Student_Record 1'!A" &amp; ROW()))</f>
        <v>4</v>
      </c>
      <c r="B73" s="8" cm="1">
        <f t="array" aca="1" ref="B73" ca="1">IF(INDIRECT("'Student_Record 1'!C" &amp; ROW())="", "", INDIRECT("'Student_Record 1'!C" &amp; ROW()))</f>
        <v>731</v>
      </c>
      <c r="C73" s="8" t="str" cm="1">
        <f t="array" aca="1" ref="C73" ca="1">IF(INDIRECT("'Student_Record 1'!E" &amp; ROW())="", "", INDIRECT("'Student_Record 1'!E" &amp; ROW()))</f>
        <v>Raju Prajapat</v>
      </c>
      <c r="D73" s="8" t="str" cm="1">
        <f t="array" aca="1" ref="D73" ca="1">IF(INDIRECT("'Student_Record 1'!G" &amp; ROW())="", "", INDIRECT("'Student_Record 1'!G" &amp; ROW()))</f>
        <v>Omprakash Prajapat</v>
      </c>
      <c r="E73" s="8" t="str" cm="1">
        <f t="array" aca="1" ref="E73" ca="1">IF(INDIRECT("'Student_Record 1'!I" &amp; ROW())="", "", INDIRECT("'Student_Record 1'!I" &amp; ROW()))</f>
        <v>M</v>
      </c>
      <c r="F73" s="8" t="str" cm="1">
        <f t="array" aca="1" ref="F73" ca="1">IF(INDIRECT("'Student_Record 1'!O" &amp; ROW())="", "", INDIRECT("'Student_Record 1'!O" &amp; ROW()))</f>
        <v>OBC</v>
      </c>
      <c r="G73" s="11"/>
      <c r="I73" s="11"/>
      <c r="J73" s="11"/>
      <c r="K73" s="11"/>
      <c r="L73" s="11"/>
      <c r="M73" s="11"/>
      <c r="N73" s="11"/>
      <c r="O73" s="11"/>
      <c r="P73" s="11"/>
      <c r="Q73" s="11"/>
    </row>
    <row r="74" spans="1:17" x14ac:dyDescent="0.25">
      <c r="A74" s="8" cm="1">
        <f t="array" aca="1" ref="A74" ca="1">IF(INDIRECT("'Student_Record 1'!A" &amp; ROW())="", "", INDIRECT("'Student_Record 1'!A" &amp; ROW()))</f>
        <v>4</v>
      </c>
      <c r="B74" s="8" cm="1">
        <f t="array" aca="1" ref="B74" ca="1">IF(INDIRECT("'Student_Record 1'!C" &amp; ROW())="", "", INDIRECT("'Student_Record 1'!C" &amp; ROW()))</f>
        <v>713</v>
      </c>
      <c r="C74" s="8" t="str" cm="1">
        <f t="array" aca="1" ref="C74" ca="1">IF(INDIRECT("'Student_Record 1'!E" &amp; ROW())="", "", INDIRECT("'Student_Record 1'!E" &amp; ROW()))</f>
        <v>Rinku Nat</v>
      </c>
      <c r="D74" s="8" t="str" cm="1">
        <f t="array" aca="1" ref="D74" ca="1">IF(INDIRECT("'Student_Record 1'!G" &amp; ROW())="", "", INDIRECT("'Student_Record 1'!G" &amp; ROW()))</f>
        <v>Sonu</v>
      </c>
      <c r="E74" s="8" t="str" cm="1">
        <f t="array" aca="1" ref="E74" ca="1">IF(INDIRECT("'Student_Record 1'!I" &amp; ROW())="", "", INDIRECT("'Student_Record 1'!I" &amp; ROW()))</f>
        <v>M</v>
      </c>
      <c r="F74" s="8" t="str" cm="1">
        <f t="array" aca="1" ref="F74" ca="1">IF(INDIRECT("'Student_Record 1'!O" &amp; ROW())="", "", INDIRECT("'Student_Record 1'!O" &amp; ROW()))</f>
        <v>SC</v>
      </c>
      <c r="G74" s="11"/>
      <c r="I74" s="11"/>
      <c r="J74" s="11"/>
      <c r="K74" s="11"/>
      <c r="L74" s="11"/>
      <c r="M74" s="11"/>
      <c r="N74" s="11"/>
      <c r="O74" s="11"/>
      <c r="P74" s="11"/>
      <c r="Q74" s="11"/>
    </row>
    <row r="75" spans="1:17" x14ac:dyDescent="0.25">
      <c r="A75" s="8" cm="1">
        <f t="array" aca="1" ref="A75" ca="1">IF(INDIRECT("'Student_Record 1'!A" &amp; ROW())="", "", INDIRECT("'Student_Record 1'!A" &amp; ROW()))</f>
        <v>4</v>
      </c>
      <c r="B75" s="8" cm="1">
        <f t="array" aca="1" ref="B75" ca="1">IF(INDIRECT("'Student_Record 1'!C" &amp; ROW())="", "", INDIRECT("'Student_Record 1'!C" &amp; ROW()))</f>
        <v>685</v>
      </c>
      <c r="C75" s="8" t="str" cm="1">
        <f t="array" aca="1" ref="C75" ca="1">IF(INDIRECT("'Student_Record 1'!E" &amp; ROW())="", "", INDIRECT("'Student_Record 1'!E" &amp; ROW()))</f>
        <v>Samar Choudhary</v>
      </c>
      <c r="D75" s="8" t="str" cm="1">
        <f t="array" aca="1" ref="D75" ca="1">IF(INDIRECT("'Student_Record 1'!G" &amp; ROW())="", "", INDIRECT("'Student_Record 1'!G" &amp; ROW()))</f>
        <v>Mahendra Choudhary</v>
      </c>
      <c r="E75" s="8" t="str" cm="1">
        <f t="array" aca="1" ref="E75" ca="1">IF(INDIRECT("'Student_Record 1'!I" &amp; ROW())="", "", INDIRECT("'Student_Record 1'!I" &amp; ROW()))</f>
        <v>M</v>
      </c>
      <c r="F75" s="8" t="str" cm="1">
        <f t="array" aca="1" ref="F75" ca="1">IF(INDIRECT("'Student_Record 1'!O" &amp; ROW())="", "", INDIRECT("'Student_Record 1'!O" &amp; ROW()))</f>
        <v>OBC</v>
      </c>
      <c r="G75" s="11"/>
      <c r="I75" s="11"/>
      <c r="J75" s="11"/>
      <c r="K75" s="11"/>
      <c r="L75" s="11"/>
      <c r="M75" s="11"/>
      <c r="N75" s="11"/>
      <c r="O75" s="11"/>
      <c r="P75" s="11"/>
      <c r="Q75" s="11"/>
    </row>
    <row r="76" spans="1:17" x14ac:dyDescent="0.25">
      <c r="A76" s="8" cm="1">
        <f t="array" aca="1" ref="A76" ca="1">IF(INDIRECT("'Student_Record 1'!A" &amp; ROW())="", "", INDIRECT("'Student_Record 1'!A" &amp; ROW()))</f>
        <v>4</v>
      </c>
      <c r="B76" s="8" cm="1">
        <f t="array" aca="1" ref="B76" ca="1">IF(INDIRECT("'Student_Record 1'!C" &amp; ROW())="", "", INDIRECT("'Student_Record 1'!C" &amp; ROW()))</f>
        <v>739</v>
      </c>
      <c r="C76" s="8" t="str" cm="1">
        <f t="array" aca="1" ref="C76" ca="1">IF(INDIRECT("'Student_Record 1'!E" &amp; ROW())="", "", INDIRECT("'Student_Record 1'!E" &amp; ROW()))</f>
        <v>Sannu Jat</v>
      </c>
      <c r="D76" s="8" t="str" cm="1">
        <f t="array" aca="1" ref="D76" ca="1">IF(INDIRECT("'Student_Record 1'!G" &amp; ROW())="", "", INDIRECT("'Student_Record 1'!G" &amp; ROW()))</f>
        <v>Ranswarup</v>
      </c>
      <c r="E76" s="8" t="str" cm="1">
        <f t="array" aca="1" ref="E76" ca="1">IF(INDIRECT("'Student_Record 1'!I" &amp; ROW())="", "", INDIRECT("'Student_Record 1'!I" &amp; ROW()))</f>
        <v>F</v>
      </c>
      <c r="F76" s="8" t="str" cm="1">
        <f t="array" aca="1" ref="F76" ca="1">IF(INDIRECT("'Student_Record 1'!O" &amp; ROW())="", "", INDIRECT("'Student_Record 1'!O" &amp; ROW()))</f>
        <v>OBC</v>
      </c>
      <c r="G76" s="11"/>
      <c r="I76" s="11"/>
      <c r="J76" s="11"/>
      <c r="K76" s="11"/>
      <c r="L76" s="11"/>
      <c r="M76" s="11"/>
      <c r="N76" s="11"/>
      <c r="O76" s="11"/>
      <c r="P76" s="11"/>
      <c r="Q76" s="11"/>
    </row>
    <row r="77" spans="1:17" x14ac:dyDescent="0.25">
      <c r="A77" s="8" cm="1">
        <f t="array" aca="1" ref="A77" ca="1">IF(INDIRECT("'Student_Record 1'!A" &amp; ROW())="", "", INDIRECT("'Student_Record 1'!A" &amp; ROW()))</f>
        <v>4</v>
      </c>
      <c r="B77" s="8" cm="1">
        <f t="array" aca="1" ref="B77" ca="1">IF(INDIRECT("'Student_Record 1'!C" &amp; ROW())="", "", INDIRECT("'Student_Record 1'!C" &amp; ROW()))</f>
        <v>746</v>
      </c>
      <c r="C77" s="8" t="str" cm="1">
        <f t="array" aca="1" ref="C77" ca="1">IF(INDIRECT("'Student_Record 1'!E" &amp; ROW())="", "", INDIRECT("'Student_Record 1'!E" &amp; ROW()))</f>
        <v>Shivani</v>
      </c>
      <c r="D77" s="8" t="str" cm="1">
        <f t="array" aca="1" ref="D77" ca="1">IF(INDIRECT("'Student_Record 1'!G" &amp; ROW())="", "", INDIRECT("'Student_Record 1'!G" &amp; ROW()))</f>
        <v>Sukhpal Jat</v>
      </c>
      <c r="E77" s="8" t="str" cm="1">
        <f t="array" aca="1" ref="E77" ca="1">IF(INDIRECT("'Student_Record 1'!I" &amp; ROW())="", "", INDIRECT("'Student_Record 1'!I" &amp; ROW()))</f>
        <v>F</v>
      </c>
      <c r="F77" s="8" t="str" cm="1">
        <f t="array" aca="1" ref="F77" ca="1">IF(INDIRECT("'Student_Record 1'!O" &amp; ROW())="", "", INDIRECT("'Student_Record 1'!O" &amp; ROW()))</f>
        <v>OBC</v>
      </c>
      <c r="G77" s="11"/>
      <c r="I77" s="11"/>
      <c r="J77" s="11"/>
      <c r="K77" s="11"/>
      <c r="L77" s="11"/>
      <c r="M77" s="11"/>
      <c r="N77" s="11"/>
      <c r="O77" s="11"/>
      <c r="P77" s="11"/>
      <c r="Q77" s="11"/>
    </row>
    <row r="78" spans="1:17" x14ac:dyDescent="0.25">
      <c r="A78" s="8" cm="1">
        <f t="array" aca="1" ref="A78" ca="1">IF(INDIRECT("'Student_Record 1'!A" &amp; ROW())="", "", INDIRECT("'Student_Record 1'!A" &amp; ROW()))</f>
        <v>4</v>
      </c>
      <c r="B78" s="8" cm="1">
        <f t="array" aca="1" ref="B78" ca="1">IF(INDIRECT("'Student_Record 1'!C" &amp; ROW())="", "", INDIRECT("'Student_Record 1'!C" &amp; ROW()))</f>
        <v>712</v>
      </c>
      <c r="C78" s="8" t="str" cm="1">
        <f t="array" aca="1" ref="C78" ca="1">IF(INDIRECT("'Student_Record 1'!E" &amp; ROW())="", "", INDIRECT("'Student_Record 1'!E" &amp; ROW()))</f>
        <v>Surjeet Jat</v>
      </c>
      <c r="D78" s="8" t="str" cm="1">
        <f t="array" aca="1" ref="D78" ca="1">IF(INDIRECT("'Student_Record 1'!G" &amp; ROW())="", "", INDIRECT("'Student_Record 1'!G" &amp; ROW()))</f>
        <v>Omprakash</v>
      </c>
      <c r="E78" s="8" t="str" cm="1">
        <f t="array" aca="1" ref="E78" ca="1">IF(INDIRECT("'Student_Record 1'!I" &amp; ROW())="", "", INDIRECT("'Student_Record 1'!I" &amp; ROW()))</f>
        <v>M</v>
      </c>
      <c r="F78" s="8" t="str" cm="1">
        <f t="array" aca="1" ref="F78" ca="1">IF(INDIRECT("'Student_Record 1'!O" &amp; ROW())="", "", INDIRECT("'Student_Record 1'!O" &amp; ROW()))</f>
        <v>OBC</v>
      </c>
      <c r="G78" s="11"/>
      <c r="I78" s="11"/>
      <c r="J78" s="11"/>
      <c r="K78" s="11"/>
      <c r="L78" s="11"/>
      <c r="M78" s="11"/>
      <c r="N78" s="11"/>
      <c r="O78" s="11"/>
      <c r="P78" s="11"/>
      <c r="Q78" s="11"/>
    </row>
    <row r="79" spans="1:17" x14ac:dyDescent="0.25">
      <c r="A79" s="8" cm="1">
        <f t="array" aca="1" ref="A79" ca="1">IF(INDIRECT("'Student_Record 1'!A" &amp; ROW())="", "", INDIRECT("'Student_Record 1'!A" &amp; ROW()))</f>
        <v>4</v>
      </c>
      <c r="B79" s="8" cm="1">
        <f t="array" aca="1" ref="B79" ca="1">IF(INDIRECT("'Student_Record 1'!C" &amp; ROW())="", "", INDIRECT("'Student_Record 1'!C" &amp; ROW()))</f>
        <v>750</v>
      </c>
      <c r="C79" s="8" t="str" cm="1">
        <f t="array" aca="1" ref="C79" ca="1">IF(INDIRECT("'Student_Record 1'!E" &amp; ROW())="", "", INDIRECT("'Student_Record 1'!E" &amp; ROW()))</f>
        <v>Tannu Bansali</v>
      </c>
      <c r="D79" s="8" t="str" cm="1">
        <f t="array" aca="1" ref="D79" ca="1">IF(INDIRECT("'Student_Record 1'!G" &amp; ROW())="", "", INDIRECT("'Student_Record 1'!G" &amp; ROW()))</f>
        <v>Kalu Ram</v>
      </c>
      <c r="E79" s="8" t="str" cm="1">
        <f t="array" aca="1" ref="E79" ca="1">IF(INDIRECT("'Student_Record 1'!I" &amp; ROW())="", "", INDIRECT("'Student_Record 1'!I" &amp; ROW()))</f>
        <v>F</v>
      </c>
      <c r="F79" s="8" t="str" cm="1">
        <f t="array" aca="1" ref="F79" ca="1">IF(INDIRECT("'Student_Record 1'!O" &amp; ROW())="", "", INDIRECT("'Student_Record 1'!O" &amp; ROW()))</f>
        <v>OBC</v>
      </c>
      <c r="G79" s="11"/>
      <c r="I79" s="11"/>
      <c r="J79" s="11"/>
      <c r="K79" s="11"/>
      <c r="L79" s="11"/>
      <c r="M79" s="11"/>
      <c r="N79" s="11"/>
      <c r="O79" s="11"/>
      <c r="P79" s="11"/>
      <c r="Q79" s="11"/>
    </row>
    <row r="80" spans="1:17" x14ac:dyDescent="0.25">
      <c r="A80" s="8" cm="1">
        <f t="array" aca="1" ref="A80" ca="1">IF(INDIRECT("'Student_Record 1'!A" &amp; ROW())="", "", INDIRECT("'Student_Record 1'!A" &amp; ROW()))</f>
        <v>4</v>
      </c>
      <c r="B80" s="8" cm="1">
        <f t="array" aca="1" ref="B80" ca="1">IF(INDIRECT("'Student_Record 1'!C" &amp; ROW())="", "", INDIRECT("'Student_Record 1'!C" &amp; ROW()))</f>
        <v>705</v>
      </c>
      <c r="C80" s="8" t="str" cm="1">
        <f t="array" aca="1" ref="C80" ca="1">IF(INDIRECT("'Student_Record 1'!E" &amp; ROW())="", "", INDIRECT("'Student_Record 1'!E" &amp; ROW()))</f>
        <v>Vikash</v>
      </c>
      <c r="D80" s="8" t="str" cm="1">
        <f t="array" aca="1" ref="D80" ca="1">IF(INDIRECT("'Student_Record 1'!G" &amp; ROW())="", "", INDIRECT("'Student_Record 1'!G" &amp; ROW()))</f>
        <v>Pankaj Harijan</v>
      </c>
      <c r="E80" s="8" t="str" cm="1">
        <f t="array" aca="1" ref="E80" ca="1">IF(INDIRECT("'Student_Record 1'!I" &amp; ROW())="", "", INDIRECT("'Student_Record 1'!I" &amp; ROW()))</f>
        <v>M</v>
      </c>
      <c r="F80" s="8" t="str" cm="1">
        <f t="array" aca="1" ref="F80" ca="1">IF(INDIRECT("'Student_Record 1'!O" &amp; ROW())="", "", INDIRECT("'Student_Record 1'!O" &amp; ROW()))</f>
        <v>SC</v>
      </c>
      <c r="G80" s="11"/>
      <c r="I80" s="11"/>
      <c r="J80" s="11"/>
      <c r="K80" s="11"/>
      <c r="L80" s="11"/>
      <c r="M80" s="11"/>
      <c r="N80" s="11"/>
      <c r="O80" s="11"/>
      <c r="P80" s="11"/>
      <c r="Q80" s="11"/>
    </row>
    <row r="81" spans="1:17" x14ac:dyDescent="0.25">
      <c r="A81" s="8" cm="1">
        <f t="array" aca="1" ref="A81" ca="1">IF(INDIRECT("'Student_Record 1'!A" &amp; ROW())="", "", INDIRECT("'Student_Record 1'!A" &amp; ROW()))</f>
        <v>4</v>
      </c>
      <c r="B81" s="8" cm="1">
        <f t="array" aca="1" ref="B81" ca="1">IF(INDIRECT("'Student_Record 1'!C" &amp; ROW())="", "", INDIRECT("'Student_Record 1'!C" &amp; ROW()))</f>
        <v>732</v>
      </c>
      <c r="C81" s="8" t="str" cm="1">
        <f t="array" aca="1" ref="C81" ca="1">IF(INDIRECT("'Student_Record 1'!E" &amp; ROW())="", "", INDIRECT("'Student_Record 1'!E" &amp; ROW()))</f>
        <v>vikash jat</v>
      </c>
      <c r="D81" s="8" t="str" cm="1">
        <f t="array" aca="1" ref="D81" ca="1">IF(INDIRECT("'Student_Record 1'!G" &amp; ROW())="", "", INDIRECT("'Student_Record 1'!G" &amp; ROW()))</f>
        <v>Hariram jat</v>
      </c>
      <c r="E81" s="8" t="str" cm="1">
        <f t="array" aca="1" ref="E81" ca="1">IF(INDIRECT("'Student_Record 1'!I" &amp; ROW())="", "", INDIRECT("'Student_Record 1'!I" &amp; ROW()))</f>
        <v>M</v>
      </c>
      <c r="F81" s="8" t="str" cm="1">
        <f t="array" aca="1" ref="F81" ca="1">IF(INDIRECT("'Student_Record 1'!O" &amp; ROW())="", "", INDIRECT("'Student_Record 1'!O" &amp; ROW()))</f>
        <v>OBC</v>
      </c>
      <c r="G81" s="11"/>
      <c r="I81" s="11"/>
      <c r="J81" s="11"/>
      <c r="K81" s="11"/>
      <c r="L81" s="11"/>
      <c r="M81" s="11"/>
      <c r="N81" s="11"/>
      <c r="O81" s="11"/>
      <c r="P81" s="11"/>
      <c r="Q81" s="11"/>
    </row>
    <row r="82" spans="1:17" x14ac:dyDescent="0.25">
      <c r="A82" s="8" cm="1">
        <f t="array" aca="1" ref="A82" ca="1">IF(INDIRECT("'Student_Record 1'!A" &amp; ROW())="", "", INDIRECT("'Student_Record 1'!A" &amp; ROW()))</f>
        <v>4</v>
      </c>
      <c r="B82" s="8" cm="1">
        <f t="array" aca="1" ref="B82" ca="1">IF(INDIRECT("'Student_Record 1'!C" &amp; ROW())="", "", INDIRECT("'Student_Record 1'!C" &amp; ROW()))</f>
        <v>633</v>
      </c>
      <c r="C82" s="8" t="str" cm="1">
        <f t="array" aca="1" ref="C82" ca="1">IF(INDIRECT("'Student_Record 1'!E" &amp; ROW())="", "", INDIRECT("'Student_Record 1'!E" &amp; ROW()))</f>
        <v>Vikram Prajapat</v>
      </c>
      <c r="D82" s="8" t="str" cm="1">
        <f t="array" aca="1" ref="D82" ca="1">IF(INDIRECT("'Student_Record 1'!G" &amp; ROW())="", "", INDIRECT("'Student_Record 1'!G" &amp; ROW()))</f>
        <v>Hardayal</v>
      </c>
      <c r="E82" s="8" t="str" cm="1">
        <f t="array" aca="1" ref="E82" ca="1">IF(INDIRECT("'Student_Record 1'!I" &amp; ROW())="", "", INDIRECT("'Student_Record 1'!I" &amp; ROW()))</f>
        <v>M</v>
      </c>
      <c r="F82" s="8" t="str" cm="1">
        <f t="array" aca="1" ref="F82" ca="1">IF(INDIRECT("'Student_Record 1'!O" &amp; ROW())="", "", INDIRECT("'Student_Record 1'!O" &amp; ROW()))</f>
        <v>OBC</v>
      </c>
      <c r="G82" s="11"/>
      <c r="I82" s="11"/>
      <c r="J82" s="11"/>
      <c r="K82" s="11"/>
      <c r="L82" s="11"/>
      <c r="M82" s="11"/>
      <c r="N82" s="11"/>
      <c r="O82" s="11"/>
      <c r="P82" s="11"/>
      <c r="Q82" s="11"/>
    </row>
    <row r="83" spans="1:17" x14ac:dyDescent="0.25">
      <c r="A83" s="8" cm="1">
        <f t="array" aca="1" ref="A83" ca="1">IF(INDIRECT("'Student_Record 1'!A" &amp; ROW())="", "", INDIRECT("'Student_Record 1'!A" &amp; ROW()))</f>
        <v>5</v>
      </c>
      <c r="B83" s="8" cm="1">
        <f t="array" aca="1" ref="B83" ca="1">IF(INDIRECT("'Student_Record 1'!C" &amp; ROW())="", "", INDIRECT("'Student_Record 1'!C" &amp; ROW()))</f>
        <v>658</v>
      </c>
      <c r="C83" s="8" t="str" cm="1">
        <f t="array" aca="1" ref="C83" ca="1">IF(INDIRECT("'Student_Record 1'!E" &amp; ROW())="", "", INDIRECT("'Student_Record 1'!E" &amp; ROW()))</f>
        <v>Anita</v>
      </c>
      <c r="D83" s="8" t="str" cm="1">
        <f t="array" aca="1" ref="D83" ca="1">IF(INDIRECT("'Student_Record 1'!G" &amp; ROW())="", "", INDIRECT("'Student_Record 1'!G" &amp; ROW()))</f>
        <v>Ramsingh</v>
      </c>
      <c r="E83" s="8" t="str" cm="1">
        <f t="array" aca="1" ref="E83" ca="1">IF(INDIRECT("'Student_Record 1'!I" &amp; ROW())="", "", INDIRECT("'Student_Record 1'!I" &amp; ROW()))</f>
        <v>F</v>
      </c>
      <c r="F83" s="8" t="str" cm="1">
        <f t="array" aca="1" ref="F83" ca="1">IF(INDIRECT("'Student_Record 1'!O" &amp; ROW())="", "", INDIRECT("'Student_Record 1'!O" &amp; ROW()))</f>
        <v>OBC</v>
      </c>
      <c r="G83" s="11"/>
      <c r="I83" s="11"/>
      <c r="J83" s="11"/>
      <c r="K83" s="11"/>
      <c r="L83" s="11"/>
      <c r="M83" s="11"/>
      <c r="N83" s="11"/>
      <c r="O83" s="11"/>
      <c r="P83" s="11"/>
      <c r="Q83" s="11"/>
    </row>
    <row r="84" spans="1:17" x14ac:dyDescent="0.25">
      <c r="A84" s="8" cm="1">
        <f t="array" aca="1" ref="A84" ca="1">IF(INDIRECT("'Student_Record 1'!A" &amp; ROW())="", "", INDIRECT("'Student_Record 1'!A" &amp; ROW()))</f>
        <v>5</v>
      </c>
      <c r="B84" s="8" cm="1">
        <f t="array" aca="1" ref="B84" ca="1">IF(INDIRECT("'Student_Record 1'!C" &amp; ROW())="", "", INDIRECT("'Student_Record 1'!C" &amp; ROW()))</f>
        <v>654</v>
      </c>
      <c r="C84" s="8" t="str" cm="1">
        <f t="array" aca="1" ref="C84" ca="1">IF(INDIRECT("'Student_Record 1'!E" &amp; ROW())="", "", INDIRECT("'Student_Record 1'!E" &amp; ROW()))</f>
        <v>Anjali</v>
      </c>
      <c r="D84" s="8" t="str" cm="1">
        <f t="array" aca="1" ref="D84" ca="1">IF(INDIRECT("'Student_Record 1'!G" &amp; ROW())="", "", INDIRECT("'Student_Record 1'!G" &amp; ROW()))</f>
        <v>Hanuman</v>
      </c>
      <c r="E84" s="8" t="str" cm="1">
        <f t="array" aca="1" ref="E84" ca="1">IF(INDIRECT("'Student_Record 1'!I" &amp; ROW())="", "", INDIRECT("'Student_Record 1'!I" &amp; ROW()))</f>
        <v>F</v>
      </c>
      <c r="F84" s="8" t="str" cm="1">
        <f t="array" aca="1" ref="F84" ca="1">IF(INDIRECT("'Student_Record 1'!O" &amp; ROW())="", "", INDIRECT("'Student_Record 1'!O" &amp; ROW()))</f>
        <v>OBC</v>
      </c>
      <c r="G84" s="11"/>
      <c r="I84" s="11"/>
      <c r="J84" s="11"/>
      <c r="K84" s="11"/>
      <c r="L84" s="11"/>
      <c r="M84" s="11"/>
      <c r="N84" s="11"/>
      <c r="O84" s="11"/>
      <c r="P84" s="11"/>
      <c r="Q84" s="11"/>
    </row>
    <row r="85" spans="1:17" x14ac:dyDescent="0.25">
      <c r="A85" s="8" cm="1">
        <f t="array" aca="1" ref="A85" ca="1">IF(INDIRECT("'Student_Record 1'!A" &amp; ROW())="", "", INDIRECT("'Student_Record 1'!A" &amp; ROW()))</f>
        <v>5</v>
      </c>
      <c r="B85" s="8" cm="1">
        <f t="array" aca="1" ref="B85" ca="1">IF(INDIRECT("'Student_Record 1'!C" &amp; ROW())="", "", INDIRECT("'Student_Record 1'!C" &amp; ROW()))</f>
        <v>604</v>
      </c>
      <c r="C85" s="8" t="str" cm="1">
        <f t="array" aca="1" ref="C85" ca="1">IF(INDIRECT("'Student_Record 1'!E" &amp; ROW())="", "", INDIRECT("'Student_Record 1'!E" &amp; ROW()))</f>
        <v>Anjali</v>
      </c>
      <c r="D85" s="8" t="str" cm="1">
        <f t="array" aca="1" ref="D85" ca="1">IF(INDIRECT("'Student_Record 1'!G" &amp; ROW())="", "", INDIRECT("'Student_Record 1'!G" &amp; ROW()))</f>
        <v>Shankar Choudhary</v>
      </c>
      <c r="E85" s="8" t="str" cm="1">
        <f t="array" aca="1" ref="E85" ca="1">IF(INDIRECT("'Student_Record 1'!I" &amp; ROW())="", "", INDIRECT("'Student_Record 1'!I" &amp; ROW()))</f>
        <v>F</v>
      </c>
      <c r="F85" s="8" t="str" cm="1">
        <f t="array" aca="1" ref="F85" ca="1">IF(INDIRECT("'Student_Record 1'!O" &amp; ROW())="", "", INDIRECT("'Student_Record 1'!O" &amp; ROW()))</f>
        <v>OBC</v>
      </c>
      <c r="G85" s="11"/>
      <c r="I85" s="11"/>
      <c r="J85" s="11"/>
      <c r="K85" s="11"/>
      <c r="L85" s="11"/>
      <c r="M85" s="11"/>
      <c r="N85" s="11"/>
      <c r="O85" s="11"/>
      <c r="P85" s="11"/>
      <c r="Q85" s="11"/>
    </row>
    <row r="86" spans="1:17" x14ac:dyDescent="0.25">
      <c r="A86" s="8" cm="1">
        <f t="array" aca="1" ref="A86" ca="1">IF(INDIRECT("'Student_Record 1'!A" &amp; ROW())="", "", INDIRECT("'Student_Record 1'!A" &amp; ROW()))</f>
        <v>5</v>
      </c>
      <c r="B86" s="8" cm="1">
        <f t="array" aca="1" ref="B86" ca="1">IF(INDIRECT("'Student_Record 1'!C" &amp; ROW())="", "", INDIRECT("'Student_Record 1'!C" &amp; ROW()))</f>
        <v>605</v>
      </c>
      <c r="C86" s="8" t="str" cm="1">
        <f t="array" aca="1" ref="C86" ca="1">IF(INDIRECT("'Student_Record 1'!E" &amp; ROW())="", "", INDIRECT("'Student_Record 1'!E" &amp; ROW()))</f>
        <v>Annu</v>
      </c>
      <c r="D86" s="8" t="str" cm="1">
        <f t="array" aca="1" ref="D86" ca="1">IF(INDIRECT("'Student_Record 1'!G" &amp; ROW())="", "", INDIRECT("'Student_Record 1'!G" &amp; ROW()))</f>
        <v>Kalu Ram</v>
      </c>
      <c r="E86" s="8" t="str" cm="1">
        <f t="array" aca="1" ref="E86" ca="1">IF(INDIRECT("'Student_Record 1'!I" &amp; ROW())="", "", INDIRECT("'Student_Record 1'!I" &amp; ROW()))</f>
        <v>F</v>
      </c>
      <c r="F86" s="8" t="str" cm="1">
        <f t="array" aca="1" ref="F86" ca="1">IF(INDIRECT("'Student_Record 1'!O" &amp; ROW())="", "", INDIRECT("'Student_Record 1'!O" &amp; ROW()))</f>
        <v>SC</v>
      </c>
      <c r="G86" s="11"/>
      <c r="I86" s="11"/>
      <c r="J86" s="11"/>
      <c r="K86" s="11"/>
      <c r="L86" s="11"/>
      <c r="M86" s="11"/>
      <c r="N86" s="11"/>
      <c r="O86" s="11"/>
      <c r="P86" s="11"/>
      <c r="Q86" s="11"/>
    </row>
    <row r="87" spans="1:17" x14ac:dyDescent="0.25">
      <c r="A87" s="8" cm="1">
        <f t="array" aca="1" ref="A87" ca="1">IF(INDIRECT("'Student_Record 1'!A" &amp; ROW())="", "", INDIRECT("'Student_Record 1'!A" &amp; ROW()))</f>
        <v>5</v>
      </c>
      <c r="B87" s="8" cm="1">
        <f t="array" aca="1" ref="B87" ca="1">IF(INDIRECT("'Student_Record 1'!C" &amp; ROW())="", "", INDIRECT("'Student_Record 1'!C" &amp; ROW()))</f>
        <v>771</v>
      </c>
      <c r="C87" s="8" t="str" cm="1">
        <f t="array" aca="1" ref="C87" ca="1">IF(INDIRECT("'Student_Record 1'!E" &amp; ROW())="", "", INDIRECT("'Student_Record 1'!E" &amp; ROW()))</f>
        <v>Anuska Choudhary</v>
      </c>
      <c r="D87" s="8" t="str" cm="1">
        <f t="array" aca="1" ref="D87" ca="1">IF(INDIRECT("'Student_Record 1'!G" &amp; ROW())="", "", INDIRECT("'Student_Record 1'!G" &amp; ROW()))</f>
        <v>Sanwar Lal Choudhary</v>
      </c>
      <c r="E87" s="8" t="str" cm="1">
        <f t="array" aca="1" ref="E87" ca="1">IF(INDIRECT("'Student_Record 1'!I" &amp; ROW())="", "", INDIRECT("'Student_Record 1'!I" &amp; ROW()))</f>
        <v>F</v>
      </c>
      <c r="F87" s="8" t="str" cm="1">
        <f t="array" aca="1" ref="F87" ca="1">IF(INDIRECT("'Student_Record 1'!O" &amp; ROW())="", "", INDIRECT("'Student_Record 1'!O" &amp; ROW()))</f>
        <v>OBC</v>
      </c>
      <c r="G87" s="11"/>
      <c r="I87" s="11"/>
      <c r="J87" s="11"/>
      <c r="K87" s="11"/>
      <c r="L87" s="11"/>
      <c r="M87" s="11"/>
      <c r="N87" s="11"/>
      <c r="O87" s="11"/>
      <c r="P87" s="11"/>
      <c r="Q87" s="11"/>
    </row>
    <row r="88" spans="1:17" x14ac:dyDescent="0.25">
      <c r="A88" s="8" cm="1">
        <f t="array" aca="1" ref="A88" ca="1">IF(INDIRECT("'Student_Record 1'!A" &amp; ROW())="", "", INDIRECT("'Student_Record 1'!A" &amp; ROW()))</f>
        <v>5</v>
      </c>
      <c r="B88" s="8" cm="1">
        <f t="array" aca="1" ref="B88" ca="1">IF(INDIRECT("'Student_Record 1'!C" &amp; ROW())="", "", INDIRECT("'Student_Record 1'!C" &amp; ROW()))</f>
        <v>632</v>
      </c>
      <c r="C88" s="8" t="str" cm="1">
        <f t="array" aca="1" ref="C88" ca="1">IF(INDIRECT("'Student_Record 1'!E" &amp; ROW())="", "", INDIRECT("'Student_Record 1'!E" &amp; ROW()))</f>
        <v>Asha Prajapat</v>
      </c>
      <c r="D88" s="8" t="str" cm="1">
        <f t="array" aca="1" ref="D88" ca="1">IF(INDIRECT("'Student_Record 1'!G" &amp; ROW())="", "", INDIRECT("'Student_Record 1'!G" &amp; ROW()))</f>
        <v>Pankaj Kumar</v>
      </c>
      <c r="E88" s="8" t="str" cm="1">
        <f t="array" aca="1" ref="E88" ca="1">IF(INDIRECT("'Student_Record 1'!I" &amp; ROW())="", "", INDIRECT("'Student_Record 1'!I" &amp; ROW()))</f>
        <v>F</v>
      </c>
      <c r="F88" s="8" t="str" cm="1">
        <f t="array" aca="1" ref="F88" ca="1">IF(INDIRECT("'Student_Record 1'!O" &amp; ROW())="", "", INDIRECT("'Student_Record 1'!O" &amp; ROW()))</f>
        <v>OBC</v>
      </c>
      <c r="G88" s="11"/>
      <c r="I88" s="11"/>
      <c r="J88" s="11"/>
      <c r="K88" s="11"/>
      <c r="L88" s="11"/>
      <c r="M88" s="11"/>
      <c r="N88" s="11"/>
      <c r="O88" s="11"/>
      <c r="P88" s="11"/>
      <c r="Q88" s="11"/>
    </row>
    <row r="89" spans="1:17" x14ac:dyDescent="0.25">
      <c r="A89" s="8" cm="1">
        <f t="array" aca="1" ref="A89" ca="1">IF(INDIRECT("'Student_Record 1'!A" &amp; ROW())="", "", INDIRECT("'Student_Record 1'!A" &amp; ROW()))</f>
        <v>5</v>
      </c>
      <c r="B89" s="8" cm="1">
        <f t="array" aca="1" ref="B89" ca="1">IF(INDIRECT("'Student_Record 1'!C" &amp; ROW())="", "", INDIRECT("'Student_Record 1'!C" &amp; ROW()))</f>
        <v>550</v>
      </c>
      <c r="C89" s="8" t="str" cm="1">
        <f t="array" aca="1" ref="C89" ca="1">IF(INDIRECT("'Student_Record 1'!E" &amp; ROW())="", "", INDIRECT("'Student_Record 1'!E" &amp; ROW()))</f>
        <v>GORA PRAJAPAT</v>
      </c>
      <c r="D89" s="8" t="str" cm="1">
        <f t="array" aca="1" ref="D89" ca="1">IF(INDIRECT("'Student_Record 1'!G" &amp; ROW())="", "", INDIRECT("'Student_Record 1'!G" &amp; ROW()))</f>
        <v>HARADAYAL PRAJAPAT</v>
      </c>
      <c r="E89" s="8" t="str" cm="1">
        <f t="array" aca="1" ref="E89" ca="1">IF(INDIRECT("'Student_Record 1'!I" &amp; ROW())="", "", INDIRECT("'Student_Record 1'!I" &amp; ROW()))</f>
        <v>F</v>
      </c>
      <c r="F89" s="8" t="str" cm="1">
        <f t="array" aca="1" ref="F89" ca="1">IF(INDIRECT("'Student_Record 1'!O" &amp; ROW())="", "", INDIRECT("'Student_Record 1'!O" &amp; ROW()))</f>
        <v>OBC</v>
      </c>
      <c r="G89" s="11"/>
      <c r="I89" s="11"/>
      <c r="J89" s="11"/>
      <c r="K89" s="11"/>
      <c r="L89" s="11"/>
      <c r="M89" s="11"/>
      <c r="N89" s="11"/>
      <c r="O89" s="11"/>
      <c r="P89" s="11"/>
      <c r="Q89" s="11"/>
    </row>
    <row r="90" spans="1:17" x14ac:dyDescent="0.25">
      <c r="A90" s="8" cm="1">
        <f t="array" aca="1" ref="A90" ca="1">IF(INDIRECT("'Student_Record 1'!A" &amp; ROW())="", "", INDIRECT("'Student_Record 1'!A" &amp; ROW()))</f>
        <v>5</v>
      </c>
      <c r="B90" s="8" cm="1">
        <f t="array" aca="1" ref="B90" ca="1">IF(INDIRECT("'Student_Record 1'!C" &amp; ROW())="", "", INDIRECT("'Student_Record 1'!C" &amp; ROW()))</f>
        <v>753</v>
      </c>
      <c r="C90" s="8" t="str" cm="1">
        <f t="array" aca="1" ref="C90" ca="1">IF(INDIRECT("'Student_Record 1'!E" &amp; ROW())="", "", INDIRECT("'Student_Record 1'!E" &amp; ROW()))</f>
        <v>Harshit Tak</v>
      </c>
      <c r="D90" s="8" t="str" cm="1">
        <f t="array" aca="1" ref="D90" ca="1">IF(INDIRECT("'Student_Record 1'!G" &amp; ROW())="", "", INDIRECT("'Student_Record 1'!G" &amp; ROW()))</f>
        <v>Mukesh Kumar Tak</v>
      </c>
      <c r="E90" s="8" t="str" cm="1">
        <f t="array" aca="1" ref="E90" ca="1">IF(INDIRECT("'Student_Record 1'!I" &amp; ROW())="", "", INDIRECT("'Student_Record 1'!I" &amp; ROW()))</f>
        <v>M</v>
      </c>
      <c r="F90" s="8" t="str" cm="1">
        <f t="array" aca="1" ref="F90" ca="1">IF(INDIRECT("'Student_Record 1'!O" &amp; ROW())="", "", INDIRECT("'Student_Record 1'!O" &amp; ROW()))</f>
        <v>SC</v>
      </c>
      <c r="G90" s="11"/>
      <c r="I90" s="11"/>
      <c r="J90" s="11"/>
      <c r="K90" s="11"/>
      <c r="L90" s="11"/>
      <c r="M90" s="11"/>
      <c r="N90" s="11"/>
      <c r="O90" s="11"/>
      <c r="P90" s="11"/>
      <c r="Q90" s="11"/>
    </row>
    <row r="91" spans="1:17" x14ac:dyDescent="0.25">
      <c r="A91" s="8" cm="1">
        <f t="array" aca="1" ref="A91" ca="1">IF(INDIRECT("'Student_Record 1'!A" &amp; ROW())="", "", INDIRECT("'Student_Record 1'!A" &amp; ROW()))</f>
        <v>5</v>
      </c>
      <c r="B91" s="8" cm="1">
        <f t="array" aca="1" ref="B91" ca="1">IF(INDIRECT("'Student_Record 1'!C" &amp; ROW())="", "", INDIRECT("'Student_Record 1'!C" &amp; ROW()))</f>
        <v>754</v>
      </c>
      <c r="C91" s="8" t="str" cm="1">
        <f t="array" aca="1" ref="C91" ca="1">IF(INDIRECT("'Student_Record 1'!E" &amp; ROW())="", "", INDIRECT("'Student_Record 1'!E" &amp; ROW()))</f>
        <v>Havish Tak</v>
      </c>
      <c r="D91" s="8" t="str" cm="1">
        <f t="array" aca="1" ref="D91" ca="1">IF(INDIRECT("'Student_Record 1'!G" &amp; ROW())="", "", INDIRECT("'Student_Record 1'!G" &amp; ROW()))</f>
        <v>Mukesh Kumar Tak</v>
      </c>
      <c r="E91" s="8" t="str" cm="1">
        <f t="array" aca="1" ref="E91" ca="1">IF(INDIRECT("'Student_Record 1'!I" &amp; ROW())="", "", INDIRECT("'Student_Record 1'!I" &amp; ROW()))</f>
        <v>M</v>
      </c>
      <c r="F91" s="8" t="str" cm="1">
        <f t="array" aca="1" ref="F91" ca="1">IF(INDIRECT("'Student_Record 1'!O" &amp; ROW())="", "", INDIRECT("'Student_Record 1'!O" &amp; ROW()))</f>
        <v>SC</v>
      </c>
      <c r="G91" s="11"/>
      <c r="I91" s="11"/>
      <c r="J91" s="11"/>
      <c r="K91" s="11"/>
      <c r="L91" s="11"/>
      <c r="M91" s="11"/>
      <c r="N91" s="11"/>
      <c r="O91" s="11"/>
      <c r="P91" s="11"/>
      <c r="Q91" s="11"/>
    </row>
    <row r="92" spans="1:17" x14ac:dyDescent="0.25">
      <c r="A92" s="8" cm="1">
        <f t="array" aca="1" ref="A92" ca="1">IF(INDIRECT("'Student_Record 1'!A" &amp; ROW())="", "", INDIRECT("'Student_Record 1'!A" &amp; ROW()))</f>
        <v>5</v>
      </c>
      <c r="B92" s="8" cm="1">
        <f t="array" aca="1" ref="B92" ca="1">IF(INDIRECT("'Student_Record 1'!C" &amp; ROW())="", "", INDIRECT("'Student_Record 1'!C" &amp; ROW()))</f>
        <v>634</v>
      </c>
      <c r="C92" s="8" t="str" cm="1">
        <f t="array" aca="1" ref="C92" ca="1">IF(INDIRECT("'Student_Record 1'!E" &amp; ROW())="", "", INDIRECT("'Student_Record 1'!E" &amp; ROW()))</f>
        <v>Hemraj</v>
      </c>
      <c r="D92" s="8" t="str" cm="1">
        <f t="array" aca="1" ref="D92" ca="1">IF(INDIRECT("'Student_Record 1'!G" &amp; ROW())="", "", INDIRECT("'Student_Record 1'!G" &amp; ROW()))</f>
        <v>Ramnarayan</v>
      </c>
      <c r="E92" s="8" t="str" cm="1">
        <f t="array" aca="1" ref="E92" ca="1">IF(INDIRECT("'Student_Record 1'!I" &amp; ROW())="", "", INDIRECT("'Student_Record 1'!I" &amp; ROW()))</f>
        <v>M</v>
      </c>
      <c r="F92" s="8" t="str" cm="1">
        <f t="array" aca="1" ref="F92" ca="1">IF(INDIRECT("'Student_Record 1'!O" &amp; ROW())="", "", INDIRECT("'Student_Record 1'!O" &amp; ROW()))</f>
        <v>OBC</v>
      </c>
      <c r="G92" s="11"/>
      <c r="I92" s="11"/>
      <c r="J92" s="11"/>
      <c r="K92" s="11"/>
      <c r="L92" s="11"/>
      <c r="M92" s="11"/>
      <c r="N92" s="11"/>
      <c r="O92" s="11"/>
      <c r="P92" s="11"/>
      <c r="Q92" s="11"/>
    </row>
    <row r="93" spans="1:17" x14ac:dyDescent="0.25">
      <c r="A93" s="8" cm="1">
        <f t="array" aca="1" ref="A93" ca="1">IF(INDIRECT("'Student_Record 1'!A" &amp; ROW())="", "", INDIRECT("'Student_Record 1'!A" &amp; ROW()))</f>
        <v>5</v>
      </c>
      <c r="B93" s="8" cm="1">
        <f t="array" aca="1" ref="B93" ca="1">IF(INDIRECT("'Student_Record 1'!C" &amp; ROW())="", "", INDIRECT("'Student_Record 1'!C" &amp; ROW()))</f>
        <v>639</v>
      </c>
      <c r="C93" s="8" t="str" cm="1">
        <f t="array" aca="1" ref="C93" ca="1">IF(INDIRECT("'Student_Record 1'!E" &amp; ROW())="", "", INDIRECT("'Student_Record 1'!E" &amp; ROW()))</f>
        <v>Kanta Prajapat</v>
      </c>
      <c r="D93" s="8" t="str" cm="1">
        <f t="array" aca="1" ref="D93" ca="1">IF(INDIRECT("'Student_Record 1'!G" &amp; ROW())="", "", INDIRECT("'Student_Record 1'!G" &amp; ROW()))</f>
        <v>Dhulaya Prajapat</v>
      </c>
      <c r="E93" s="8" t="str" cm="1">
        <f t="array" aca="1" ref="E93" ca="1">IF(INDIRECT("'Student_Record 1'!I" &amp; ROW())="", "", INDIRECT("'Student_Record 1'!I" &amp; ROW()))</f>
        <v>F</v>
      </c>
      <c r="F93" s="8" t="str" cm="1">
        <f t="array" aca="1" ref="F93" ca="1">IF(INDIRECT("'Student_Record 1'!O" &amp; ROW())="", "", INDIRECT("'Student_Record 1'!O" &amp; ROW()))</f>
        <v>OBC</v>
      </c>
      <c r="G93" s="11"/>
      <c r="I93" s="11"/>
      <c r="J93" s="11"/>
      <c r="K93" s="11"/>
      <c r="L93" s="11"/>
      <c r="M93" s="11"/>
      <c r="N93" s="11"/>
      <c r="O93" s="11"/>
      <c r="P93" s="11"/>
      <c r="Q93" s="11"/>
    </row>
    <row r="94" spans="1:17" x14ac:dyDescent="0.25">
      <c r="A94" s="8" cm="1">
        <f t="array" aca="1" ref="A94" ca="1">IF(INDIRECT("'Student_Record 1'!A" &amp; ROW())="", "", INDIRECT("'Student_Record 1'!A" &amp; ROW()))</f>
        <v>5</v>
      </c>
      <c r="B94" s="8" cm="1">
        <f t="array" aca="1" ref="B94" ca="1">IF(INDIRECT("'Student_Record 1'!C" &amp; ROW())="", "", INDIRECT("'Student_Record 1'!C" &amp; ROW()))</f>
        <v>666</v>
      </c>
      <c r="C94" s="8" t="str" cm="1">
        <f t="array" aca="1" ref="C94" ca="1">IF(INDIRECT("'Student_Record 1'!E" &amp; ROW())="", "", INDIRECT("'Student_Record 1'!E" &amp; ROW()))</f>
        <v>KARISHMA CHOUDHARY</v>
      </c>
      <c r="D94" s="8" t="str" cm="1">
        <f t="array" aca="1" ref="D94" ca="1">IF(INDIRECT("'Student_Record 1'!G" &amp; ROW())="", "", INDIRECT("'Student_Record 1'!G" &amp; ROW()))</f>
        <v>Gopiram Choudhary</v>
      </c>
      <c r="E94" s="8" t="str" cm="1">
        <f t="array" aca="1" ref="E94" ca="1">IF(INDIRECT("'Student_Record 1'!I" &amp; ROW())="", "", INDIRECT("'Student_Record 1'!I" &amp; ROW()))</f>
        <v>F</v>
      </c>
      <c r="F94" s="8" t="str" cm="1">
        <f t="array" aca="1" ref="F94" ca="1">IF(INDIRECT("'Student_Record 1'!O" &amp; ROW())="", "", INDIRECT("'Student_Record 1'!O" &amp; ROW()))</f>
        <v>OBC</v>
      </c>
      <c r="G94" s="11"/>
      <c r="I94" s="11"/>
      <c r="J94" s="11"/>
      <c r="K94" s="11"/>
      <c r="L94" s="11"/>
      <c r="M94" s="11"/>
      <c r="N94" s="11"/>
      <c r="O94" s="11"/>
      <c r="P94" s="11"/>
      <c r="Q94" s="11"/>
    </row>
    <row r="95" spans="1:17" x14ac:dyDescent="0.25">
      <c r="A95" s="8" cm="1">
        <f t="array" aca="1" ref="A95" ca="1">IF(INDIRECT("'Student_Record 1'!A" &amp; ROW())="", "", INDIRECT("'Student_Record 1'!A" &amp; ROW()))</f>
        <v>5</v>
      </c>
      <c r="B95" s="8" cm="1">
        <f t="array" aca="1" ref="B95" ca="1">IF(INDIRECT("'Student_Record 1'!C" &amp; ROW())="", "", INDIRECT("'Student_Record 1'!C" &amp; ROW()))</f>
        <v>630</v>
      </c>
      <c r="C95" s="8" t="str" cm="1">
        <f t="array" aca="1" ref="C95" ca="1">IF(INDIRECT("'Student_Record 1'!E" &amp; ROW())="", "", INDIRECT("'Student_Record 1'!E" &amp; ROW()))</f>
        <v>Krishna Prajapat</v>
      </c>
      <c r="D95" s="8" t="str" cm="1">
        <f t="array" aca="1" ref="D95" ca="1">IF(INDIRECT("'Student_Record 1'!G" &amp; ROW())="", "", INDIRECT("'Student_Record 1'!G" &amp; ROW()))</f>
        <v>Ramlal</v>
      </c>
      <c r="E95" s="8" t="str" cm="1">
        <f t="array" aca="1" ref="E95" ca="1">IF(INDIRECT("'Student_Record 1'!I" &amp; ROW())="", "", INDIRECT("'Student_Record 1'!I" &amp; ROW()))</f>
        <v>F</v>
      </c>
      <c r="F95" s="8" t="str" cm="1">
        <f t="array" aca="1" ref="F95" ca="1">IF(INDIRECT("'Student_Record 1'!O" &amp; ROW())="", "", INDIRECT("'Student_Record 1'!O" &amp; ROW()))</f>
        <v>OBC</v>
      </c>
      <c r="G95" s="11"/>
      <c r="I95" s="11"/>
      <c r="J95" s="11"/>
      <c r="K95" s="11"/>
      <c r="L95" s="11"/>
      <c r="M95" s="11"/>
      <c r="N95" s="11"/>
      <c r="O95" s="11"/>
      <c r="P95" s="11"/>
      <c r="Q95" s="11"/>
    </row>
    <row r="96" spans="1:17" x14ac:dyDescent="0.25">
      <c r="A96" s="8" cm="1">
        <f t="array" aca="1" ref="A96" ca="1">IF(INDIRECT("'Student_Record 1'!A" &amp; ROW())="", "", INDIRECT("'Student_Record 1'!A" &amp; ROW()))</f>
        <v>5</v>
      </c>
      <c r="B96" s="8" cm="1">
        <f t="array" aca="1" ref="B96" ca="1">IF(INDIRECT("'Student_Record 1'!C" &amp; ROW())="", "", INDIRECT("'Student_Record 1'!C" &amp; ROW()))</f>
        <v>830</v>
      </c>
      <c r="C96" s="8" t="str" cm="1">
        <f t="array" aca="1" ref="C96" ca="1">IF(INDIRECT("'Student_Record 1'!E" &amp; ROW())="", "", INDIRECT("'Student_Record 1'!E" &amp; ROW()))</f>
        <v>Monika</v>
      </c>
      <c r="D96" s="8" t="str" cm="1">
        <f t="array" aca="1" ref="D96" ca="1">IF(INDIRECT("'Student_Record 1'!G" &amp; ROW())="", "", INDIRECT("'Student_Record 1'!G" &amp; ROW()))</f>
        <v>Ramprasad Jat</v>
      </c>
      <c r="E96" s="8" t="str" cm="1">
        <f t="array" aca="1" ref="E96" ca="1">IF(INDIRECT("'Student_Record 1'!I" &amp; ROW())="", "", INDIRECT("'Student_Record 1'!I" &amp; ROW()))</f>
        <v>F</v>
      </c>
      <c r="F96" s="8" t="str" cm="1">
        <f t="array" aca="1" ref="F96" ca="1">IF(INDIRECT("'Student_Record 1'!O" &amp; ROW())="", "", INDIRECT("'Student_Record 1'!O" &amp; ROW()))</f>
        <v>OBC</v>
      </c>
      <c r="G96" s="11"/>
      <c r="I96" s="11"/>
      <c r="J96" s="11"/>
      <c r="K96" s="11"/>
      <c r="L96" s="11"/>
      <c r="M96" s="11"/>
      <c r="N96" s="11"/>
      <c r="O96" s="11"/>
      <c r="P96" s="11"/>
      <c r="Q96" s="11"/>
    </row>
    <row r="97" spans="1:17" x14ac:dyDescent="0.25">
      <c r="A97" s="8" cm="1">
        <f t="array" aca="1" ref="A97" ca="1">IF(INDIRECT("'Student_Record 1'!A" &amp; ROW())="", "", INDIRECT("'Student_Record 1'!A" &amp; ROW()))</f>
        <v>5</v>
      </c>
      <c r="B97" s="8" cm="1">
        <f t="array" aca="1" ref="B97" ca="1">IF(INDIRECT("'Student_Record 1'!C" &amp; ROW())="", "", INDIRECT("'Student_Record 1'!C" &amp; ROW()))</f>
        <v>675</v>
      </c>
      <c r="C97" s="8" t="str" cm="1">
        <f t="array" aca="1" ref="C97" ca="1">IF(INDIRECT("'Student_Record 1'!E" &amp; ROW())="", "", INDIRECT("'Student_Record 1'!E" &amp; ROW()))</f>
        <v>Monu Choudhary</v>
      </c>
      <c r="D97" s="8" t="str" cm="1">
        <f t="array" aca="1" ref="D97" ca="1">IF(INDIRECT("'Student_Record 1'!G" &amp; ROW())="", "", INDIRECT("'Student_Record 1'!G" &amp; ROW()))</f>
        <v>Kalu Ram</v>
      </c>
      <c r="E97" s="8" t="str" cm="1">
        <f t="array" aca="1" ref="E97" ca="1">IF(INDIRECT("'Student_Record 1'!I" &amp; ROW())="", "", INDIRECT("'Student_Record 1'!I" &amp; ROW()))</f>
        <v>M</v>
      </c>
      <c r="F97" s="8" t="str" cm="1">
        <f t="array" aca="1" ref="F97" ca="1">IF(INDIRECT("'Student_Record 1'!O" &amp; ROW())="", "", INDIRECT("'Student_Record 1'!O" &amp; ROW()))</f>
        <v>OBC</v>
      </c>
      <c r="G97" s="11"/>
      <c r="I97" s="11"/>
      <c r="J97" s="11"/>
      <c r="K97" s="11"/>
      <c r="L97" s="11"/>
      <c r="M97" s="11"/>
      <c r="N97" s="11"/>
      <c r="O97" s="11"/>
      <c r="P97" s="11"/>
      <c r="Q97" s="11"/>
    </row>
    <row r="98" spans="1:17" x14ac:dyDescent="0.25">
      <c r="A98" s="8" cm="1">
        <f t="array" aca="1" ref="A98" ca="1">IF(INDIRECT("'Student_Record 1'!A" &amp; ROW())="", "", INDIRECT("'Student_Record 1'!A" &amp; ROW()))</f>
        <v>5</v>
      </c>
      <c r="B98" s="8" cm="1">
        <f t="array" aca="1" ref="B98" ca="1">IF(INDIRECT("'Student_Record 1'!C" &amp; ROW())="", "", INDIRECT("'Student_Record 1'!C" &amp; ROW()))</f>
        <v>653</v>
      </c>
      <c r="C98" s="8" t="str" cm="1">
        <f t="array" aca="1" ref="C98" ca="1">IF(INDIRECT("'Student_Record 1'!E" &amp; ROW())="", "", INDIRECT("'Student_Record 1'!E" &amp; ROW()))</f>
        <v>Nandram Jat</v>
      </c>
      <c r="D98" s="8" t="str" cm="1">
        <f t="array" aca="1" ref="D98" ca="1">IF(INDIRECT("'Student_Record 1'!G" &amp; ROW())="", "", INDIRECT("'Student_Record 1'!G" &amp; ROW()))</f>
        <v>Satyanarayan Jat</v>
      </c>
      <c r="E98" s="8" t="str" cm="1">
        <f t="array" aca="1" ref="E98" ca="1">IF(INDIRECT("'Student_Record 1'!I" &amp; ROW())="", "", INDIRECT("'Student_Record 1'!I" &amp; ROW()))</f>
        <v>M</v>
      </c>
      <c r="F98" s="8" t="str" cm="1">
        <f t="array" aca="1" ref="F98" ca="1">IF(INDIRECT("'Student_Record 1'!O" &amp; ROW())="", "", INDIRECT("'Student_Record 1'!O" &amp; ROW()))</f>
        <v>OBC</v>
      </c>
      <c r="G98" s="11"/>
      <c r="I98" s="11"/>
      <c r="J98" s="11"/>
      <c r="K98" s="11"/>
      <c r="L98" s="11"/>
      <c r="M98" s="11"/>
      <c r="N98" s="11"/>
      <c r="O98" s="11"/>
      <c r="P98" s="11"/>
      <c r="Q98" s="11"/>
    </row>
    <row r="99" spans="1:17" x14ac:dyDescent="0.25">
      <c r="A99" s="8" cm="1">
        <f t="array" aca="1" ref="A99" ca="1">IF(INDIRECT("'Student_Record 1'!A" &amp; ROW())="", "", INDIRECT("'Student_Record 1'!A" &amp; ROW()))</f>
        <v>5</v>
      </c>
      <c r="B99" s="8" cm="1">
        <f t="array" aca="1" ref="B99" ca="1">IF(INDIRECT("'Student_Record 1'!C" &amp; ROW())="", "", INDIRECT("'Student_Record 1'!C" &amp; ROW()))</f>
        <v>895</v>
      </c>
      <c r="C99" s="8" t="str" cm="1">
        <f t="array" aca="1" ref="C99" ca="1">IF(INDIRECT("'Student_Record 1'!E" &amp; ROW())="", "", INDIRECT("'Student_Record 1'!E" &amp; ROW()))</f>
        <v>Nirmal Jat</v>
      </c>
      <c r="D99" s="8" t="str" cm="1">
        <f t="array" aca="1" ref="D99" ca="1">IF(INDIRECT("'Student_Record 1'!G" &amp; ROW())="", "", INDIRECT("'Student_Record 1'!G" &amp; ROW()))</f>
        <v>Hanuman Jat</v>
      </c>
      <c r="E99" s="8" t="str" cm="1">
        <f t="array" aca="1" ref="E99" ca="1">IF(INDIRECT("'Student_Record 1'!I" &amp; ROW())="", "", INDIRECT("'Student_Record 1'!I" &amp; ROW()))</f>
        <v>M</v>
      </c>
      <c r="F99" s="8" t="str" cm="1">
        <f t="array" aca="1" ref="F99" ca="1">IF(INDIRECT("'Student_Record 1'!O" &amp; ROW())="", "", INDIRECT("'Student_Record 1'!O" &amp; ROW()))</f>
        <v>OBC</v>
      </c>
      <c r="G99" s="11"/>
      <c r="I99" s="11"/>
      <c r="J99" s="11"/>
      <c r="K99" s="11"/>
      <c r="L99" s="11"/>
      <c r="M99" s="11"/>
      <c r="N99" s="11"/>
      <c r="O99" s="11"/>
      <c r="P99" s="11"/>
      <c r="Q99" s="11"/>
    </row>
    <row r="100" spans="1:17" x14ac:dyDescent="0.25">
      <c r="A100" s="8" cm="1">
        <f t="array" aca="1" ref="A100" ca="1">IF(INDIRECT("'Student_Record 1'!A" &amp; ROW())="", "", INDIRECT("'Student_Record 1'!A" &amp; ROW()))</f>
        <v>5</v>
      </c>
      <c r="B100" s="8" cm="1">
        <f t="array" aca="1" ref="B100" ca="1">IF(INDIRECT("'Student_Record 1'!C" &amp; ROW())="", "", INDIRECT("'Student_Record 1'!C" &amp; ROW()))</f>
        <v>608</v>
      </c>
      <c r="C100" s="8" t="str" cm="1">
        <f t="array" aca="1" ref="C100" ca="1">IF(INDIRECT("'Student_Record 1'!E" &amp; ROW())="", "", INDIRECT("'Student_Record 1'!E" &amp; ROW()))</f>
        <v>Pooja Prajapat</v>
      </c>
      <c r="D100" s="8" t="str" cm="1">
        <f t="array" aca="1" ref="D100" ca="1">IF(INDIRECT("'Student_Record 1'!G" &amp; ROW())="", "", INDIRECT("'Student_Record 1'!G" &amp; ROW()))</f>
        <v>Laxman Prajapat</v>
      </c>
      <c r="E100" s="8" t="str" cm="1">
        <f t="array" aca="1" ref="E100" ca="1">IF(INDIRECT("'Student_Record 1'!I" &amp; ROW())="", "", INDIRECT("'Student_Record 1'!I" &amp; ROW()))</f>
        <v>F</v>
      </c>
      <c r="F100" s="8" t="str" cm="1">
        <f t="array" aca="1" ref="F100" ca="1">IF(INDIRECT("'Student_Record 1'!O" &amp; ROW())="", "", INDIRECT("'Student_Record 1'!O" &amp; ROW()))</f>
        <v>OBC</v>
      </c>
      <c r="G100" s="11"/>
      <c r="I100" s="11"/>
      <c r="J100" s="11"/>
      <c r="K100" s="11"/>
      <c r="L100" s="11"/>
      <c r="M100" s="11"/>
      <c r="N100" s="11"/>
      <c r="O100" s="11"/>
      <c r="P100" s="11"/>
      <c r="Q100" s="11"/>
    </row>
    <row r="101" spans="1:17" x14ac:dyDescent="0.25">
      <c r="A101" s="8" cm="1">
        <f t="array" aca="1" ref="A101" ca="1">IF(INDIRECT("'Student_Record 1'!A" &amp; ROW())="", "", INDIRECT("'Student_Record 1'!A" &amp; ROW()))</f>
        <v>5</v>
      </c>
      <c r="B101" s="8" cm="1">
        <f t="array" aca="1" ref="B101" ca="1">IF(INDIRECT("'Student_Record 1'!C" &amp; ROW())="", "", INDIRECT("'Student_Record 1'!C" &amp; ROW()))</f>
        <v>740</v>
      </c>
      <c r="C101" s="8" t="str" cm="1">
        <f t="array" aca="1" ref="C101" ca="1">IF(INDIRECT("'Student_Record 1'!E" &amp; ROW())="", "", INDIRECT("'Student_Record 1'!E" &amp; ROW()))</f>
        <v>Pradeep Jat</v>
      </c>
      <c r="D101" s="8" t="str" cm="1">
        <f t="array" aca="1" ref="D101" ca="1">IF(INDIRECT("'Student_Record 1'!G" &amp; ROW())="", "", INDIRECT("'Student_Record 1'!G" &amp; ROW()))</f>
        <v>Govind Jat</v>
      </c>
      <c r="E101" s="8" t="str" cm="1">
        <f t="array" aca="1" ref="E101" ca="1">IF(INDIRECT("'Student_Record 1'!I" &amp; ROW())="", "", INDIRECT("'Student_Record 1'!I" &amp; ROW()))</f>
        <v>M</v>
      </c>
      <c r="F101" s="8" t="str" cm="1">
        <f t="array" aca="1" ref="F101" ca="1">IF(INDIRECT("'Student_Record 1'!O" &amp; ROW())="", "", INDIRECT("'Student_Record 1'!O" &amp; ROW()))</f>
        <v>OBC</v>
      </c>
      <c r="G101" s="11"/>
      <c r="I101" s="11"/>
      <c r="J101" s="11"/>
      <c r="K101" s="11"/>
      <c r="L101" s="11"/>
      <c r="M101" s="11"/>
      <c r="N101" s="11"/>
      <c r="O101" s="11"/>
      <c r="P101" s="11"/>
      <c r="Q101" s="11"/>
    </row>
    <row r="102" spans="1:17" x14ac:dyDescent="0.25">
      <c r="A102" s="8" cm="1">
        <f t="array" aca="1" ref="A102" ca="1">IF(INDIRECT("'Student_Record 1'!A" &amp; ROW())="", "", INDIRECT("'Student_Record 1'!A" &amp; ROW()))</f>
        <v>5</v>
      </c>
      <c r="B102" s="8" cm="1">
        <f t="array" aca="1" ref="B102" ca="1">IF(INDIRECT("'Student_Record 1'!C" &amp; ROW())="", "", INDIRECT("'Student_Record 1'!C" &amp; ROW()))</f>
        <v>629</v>
      </c>
      <c r="C102" s="8" t="str" cm="1">
        <f t="array" aca="1" ref="C102" ca="1">IF(INDIRECT("'Student_Record 1'!E" &amp; ROW())="", "", INDIRECT("'Student_Record 1'!E" &amp; ROW()))</f>
        <v>Premchand Prajapat</v>
      </c>
      <c r="D102" s="8" t="str" cm="1">
        <f t="array" aca="1" ref="D102" ca="1">IF(INDIRECT("'Student_Record 1'!G" &amp; ROW())="", "", INDIRECT("'Student_Record 1'!G" &amp; ROW()))</f>
        <v>Kailash</v>
      </c>
      <c r="E102" s="8" t="str" cm="1">
        <f t="array" aca="1" ref="E102" ca="1">IF(INDIRECT("'Student_Record 1'!I" &amp; ROW())="", "", INDIRECT("'Student_Record 1'!I" &amp; ROW()))</f>
        <v>M</v>
      </c>
      <c r="F102" s="8" t="str" cm="1">
        <f t="array" aca="1" ref="F102" ca="1">IF(INDIRECT("'Student_Record 1'!O" &amp; ROW())="", "", INDIRECT("'Student_Record 1'!O" &amp; ROW()))</f>
        <v>OBC</v>
      </c>
      <c r="G102" s="11"/>
      <c r="I102" s="11"/>
      <c r="J102" s="11"/>
      <c r="K102" s="11"/>
      <c r="L102" s="11"/>
      <c r="M102" s="11"/>
      <c r="N102" s="11"/>
      <c r="O102" s="11"/>
      <c r="P102" s="11"/>
      <c r="Q102" s="11"/>
    </row>
    <row r="103" spans="1:17" x14ac:dyDescent="0.25">
      <c r="A103" s="8" cm="1">
        <f t="array" aca="1" ref="A103" ca="1">IF(INDIRECT("'Student_Record 1'!A" &amp; ROW())="", "", INDIRECT("'Student_Record 1'!A" &amp; ROW()))</f>
        <v>5</v>
      </c>
      <c r="B103" s="8" cm="1">
        <f t="array" aca="1" ref="B103" ca="1">IF(INDIRECT("'Student_Record 1'!C" &amp; ROW())="", "", INDIRECT("'Student_Record 1'!C" &amp; ROW()))</f>
        <v>846</v>
      </c>
      <c r="C103" s="8" t="str" cm="1">
        <f t="array" aca="1" ref="C103" ca="1">IF(INDIRECT("'Student_Record 1'!E" &amp; ROW())="", "", INDIRECT("'Student_Record 1'!E" &amp; ROW()))</f>
        <v>Priyanka Prajapat</v>
      </c>
      <c r="D103" s="8" t="str" cm="1">
        <f t="array" aca="1" ref="D103" ca="1">IF(INDIRECT("'Student_Record 1'!G" &amp; ROW())="", "", INDIRECT("'Student_Record 1'!G" &amp; ROW()))</f>
        <v>Pankaj Kumar</v>
      </c>
      <c r="E103" s="8" t="str" cm="1">
        <f t="array" aca="1" ref="E103" ca="1">IF(INDIRECT("'Student_Record 1'!I" &amp; ROW())="", "", INDIRECT("'Student_Record 1'!I" &amp; ROW()))</f>
        <v>F</v>
      </c>
      <c r="F103" s="8" t="str" cm="1">
        <f t="array" aca="1" ref="F103" ca="1">IF(INDIRECT("'Student_Record 1'!O" &amp; ROW())="", "", INDIRECT("'Student_Record 1'!O" &amp; ROW()))</f>
        <v>OBC</v>
      </c>
      <c r="G103" s="11"/>
      <c r="I103" s="11"/>
      <c r="J103" s="11"/>
      <c r="K103" s="11"/>
      <c r="L103" s="11"/>
      <c r="M103" s="11"/>
      <c r="N103" s="11"/>
      <c r="O103" s="11"/>
      <c r="P103" s="11"/>
      <c r="Q103" s="11"/>
    </row>
    <row r="104" spans="1:17" x14ac:dyDescent="0.25">
      <c r="A104" s="8" cm="1">
        <f t="array" aca="1" ref="A104" ca="1">IF(INDIRECT("'Student_Record 1'!A" &amp; ROW())="", "", INDIRECT("'Student_Record 1'!A" &amp; ROW()))</f>
        <v>5</v>
      </c>
      <c r="B104" s="8" cm="1">
        <f t="array" aca="1" ref="B104" ca="1">IF(INDIRECT("'Student_Record 1'!C" &amp; ROW())="", "", INDIRECT("'Student_Record 1'!C" &amp; ROW()))</f>
        <v>817</v>
      </c>
      <c r="C104" s="8" t="str" cm="1">
        <f t="array" aca="1" ref="C104" ca="1">IF(INDIRECT("'Student_Record 1'!E" &amp; ROW())="", "", INDIRECT("'Student_Record 1'!E" &amp; ROW()))</f>
        <v>Radhika</v>
      </c>
      <c r="D104" s="8" t="str" cm="1">
        <f t="array" aca="1" ref="D104" ca="1">IF(INDIRECT("'Student_Record 1'!G" &amp; ROW())="", "", INDIRECT("'Student_Record 1'!G" &amp; ROW()))</f>
        <v>Arjun</v>
      </c>
      <c r="E104" s="8" t="str" cm="1">
        <f t="array" aca="1" ref="E104" ca="1">IF(INDIRECT("'Student_Record 1'!I" &amp; ROW())="", "", INDIRECT("'Student_Record 1'!I" &amp; ROW()))</f>
        <v>F</v>
      </c>
      <c r="F104" s="8" t="str" cm="1">
        <f t="array" aca="1" ref="F104" ca="1">IF(INDIRECT("'Student_Record 1'!O" &amp; ROW())="", "", INDIRECT("'Student_Record 1'!O" &amp; ROW()))</f>
        <v>SC</v>
      </c>
      <c r="G104" s="11"/>
      <c r="I104" s="11"/>
      <c r="J104" s="11"/>
      <c r="K104" s="11"/>
      <c r="L104" s="11"/>
      <c r="M104" s="11"/>
      <c r="N104" s="11"/>
      <c r="O104" s="11"/>
      <c r="P104" s="11"/>
      <c r="Q104" s="11"/>
    </row>
    <row r="105" spans="1:17" x14ac:dyDescent="0.25">
      <c r="A105" s="8" cm="1">
        <f t="array" aca="1" ref="A105" ca="1">IF(INDIRECT("'Student_Record 1'!A" &amp; ROW())="", "", INDIRECT("'Student_Record 1'!A" &amp; ROW()))</f>
        <v>5</v>
      </c>
      <c r="B105" s="8" cm="1">
        <f t="array" aca="1" ref="B105" ca="1">IF(INDIRECT("'Student_Record 1'!C" &amp; ROW())="", "", INDIRECT("'Student_Record 1'!C" &amp; ROW()))</f>
        <v>610</v>
      </c>
      <c r="C105" s="8" t="str" cm="1">
        <f t="array" aca="1" ref="C105" ca="1">IF(INDIRECT("'Student_Record 1'!E" &amp; ROW())="", "", INDIRECT("'Student_Record 1'!E" &amp; ROW()))</f>
        <v>Rahul Bheel</v>
      </c>
      <c r="D105" s="8" t="str" cm="1">
        <f t="array" aca="1" ref="D105" ca="1">IF(INDIRECT("'Student_Record 1'!G" &amp; ROW())="", "", INDIRECT("'Student_Record 1'!G" &amp; ROW()))</f>
        <v>Chhotu Bheel</v>
      </c>
      <c r="E105" s="8" t="str" cm="1">
        <f t="array" aca="1" ref="E105" ca="1">IF(INDIRECT("'Student_Record 1'!I" &amp; ROW())="", "", INDIRECT("'Student_Record 1'!I" &amp; ROW()))</f>
        <v>M</v>
      </c>
      <c r="F105" s="8" t="str" cm="1">
        <f t="array" aca="1" ref="F105" ca="1">IF(INDIRECT("'Student_Record 1'!O" &amp; ROW())="", "", INDIRECT("'Student_Record 1'!O" &amp; ROW()))</f>
        <v>ST</v>
      </c>
      <c r="G105" s="11"/>
      <c r="I105" s="11"/>
      <c r="J105" s="11"/>
      <c r="K105" s="11"/>
      <c r="L105" s="11"/>
      <c r="M105" s="11"/>
      <c r="N105" s="11"/>
      <c r="O105" s="11"/>
      <c r="P105" s="11"/>
      <c r="Q105" s="11"/>
    </row>
    <row r="106" spans="1:17" x14ac:dyDescent="0.25">
      <c r="A106" s="8" cm="1">
        <f t="array" aca="1" ref="A106" ca="1">IF(INDIRECT("'Student_Record 1'!A" &amp; ROW())="", "", INDIRECT("'Student_Record 1'!A" &amp; ROW()))</f>
        <v>5</v>
      </c>
      <c r="B106" s="8" cm="1">
        <f t="array" aca="1" ref="B106" ca="1">IF(INDIRECT("'Student_Record 1'!C" &amp; ROW())="", "", INDIRECT("'Student_Record 1'!C" &amp; ROW()))</f>
        <v>628</v>
      </c>
      <c r="C106" s="8" t="str" cm="1">
        <f t="array" aca="1" ref="C106" ca="1">IF(INDIRECT("'Student_Record 1'!E" &amp; ROW())="", "", INDIRECT("'Student_Record 1'!E" &amp; ROW()))</f>
        <v>Rahul Prajapat</v>
      </c>
      <c r="D106" s="8" t="str" cm="1">
        <f t="array" aca="1" ref="D106" ca="1">IF(INDIRECT("'Student_Record 1'!G" &amp; ROW())="", "", INDIRECT("'Student_Record 1'!G" &amp; ROW()))</f>
        <v>Kailash</v>
      </c>
      <c r="E106" s="8" t="str" cm="1">
        <f t="array" aca="1" ref="E106" ca="1">IF(INDIRECT("'Student_Record 1'!I" &amp; ROW())="", "", INDIRECT("'Student_Record 1'!I" &amp; ROW()))</f>
        <v>M</v>
      </c>
      <c r="F106" s="8" t="str" cm="1">
        <f t="array" aca="1" ref="F106" ca="1">IF(INDIRECT("'Student_Record 1'!O" &amp; ROW())="", "", INDIRECT("'Student_Record 1'!O" &amp; ROW()))</f>
        <v>OBC</v>
      </c>
      <c r="G106" s="11"/>
      <c r="I106" s="11"/>
      <c r="J106" s="11"/>
      <c r="K106" s="11"/>
      <c r="L106" s="11"/>
      <c r="M106" s="11"/>
      <c r="N106" s="11"/>
      <c r="O106" s="11"/>
      <c r="P106" s="11"/>
      <c r="Q106" s="11"/>
    </row>
    <row r="107" spans="1:17" x14ac:dyDescent="0.25">
      <c r="A107" s="8" cm="1">
        <f t="array" aca="1" ref="A107" ca="1">IF(INDIRECT("'Student_Record 1'!A" &amp; ROW())="", "", INDIRECT("'Student_Record 1'!A" &amp; ROW()))</f>
        <v>5</v>
      </c>
      <c r="B107" s="8" cm="1">
        <f t="array" aca="1" ref="B107" ca="1">IF(INDIRECT("'Student_Record 1'!C" &amp; ROW())="", "", INDIRECT("'Student_Record 1'!C" &amp; ROW()))</f>
        <v>635</v>
      </c>
      <c r="C107" s="8" t="str" cm="1">
        <f t="array" aca="1" ref="C107" ca="1">IF(INDIRECT("'Student_Record 1'!E" &amp; ROW())="", "", INDIRECT("'Student_Record 1'!E" &amp; ROW()))</f>
        <v>Ranjeet Jat</v>
      </c>
      <c r="D107" s="8" t="str" cm="1">
        <f t="array" aca="1" ref="D107" ca="1">IF(INDIRECT("'Student_Record 1'!G" &amp; ROW())="", "", INDIRECT("'Student_Record 1'!G" &amp; ROW()))</f>
        <v>Om Prakash</v>
      </c>
      <c r="E107" s="8" t="str" cm="1">
        <f t="array" aca="1" ref="E107" ca="1">IF(INDIRECT("'Student_Record 1'!I" &amp; ROW())="", "", INDIRECT("'Student_Record 1'!I" &amp; ROW()))</f>
        <v>M</v>
      </c>
      <c r="F107" s="8" t="str" cm="1">
        <f t="array" aca="1" ref="F107" ca="1">IF(INDIRECT("'Student_Record 1'!O" &amp; ROW())="", "", INDIRECT("'Student_Record 1'!O" &amp; ROW()))</f>
        <v>OBC</v>
      </c>
      <c r="G107" s="11"/>
      <c r="I107" s="11"/>
      <c r="J107" s="11"/>
      <c r="K107" s="11"/>
      <c r="L107" s="11"/>
      <c r="M107" s="11"/>
      <c r="N107" s="11"/>
      <c r="O107" s="11"/>
      <c r="P107" s="11"/>
      <c r="Q107" s="11"/>
    </row>
    <row r="108" spans="1:17" x14ac:dyDescent="0.25">
      <c r="A108" s="8" cm="1">
        <f t="array" aca="1" ref="A108" ca="1">IF(INDIRECT("'Student_Record 1'!A" &amp; ROW())="", "", INDIRECT("'Student_Record 1'!A" &amp; ROW()))</f>
        <v>5</v>
      </c>
      <c r="B108" s="8" cm="1">
        <f t="array" aca="1" ref="B108" ca="1">IF(INDIRECT("'Student_Record 1'!C" &amp; ROW())="", "", INDIRECT("'Student_Record 1'!C" &amp; ROW()))</f>
        <v>641</v>
      </c>
      <c r="C108" s="8" t="str" cm="1">
        <f t="array" aca="1" ref="C108" ca="1">IF(INDIRECT("'Student_Record 1'!E" &amp; ROW())="", "", INDIRECT("'Student_Record 1'!E" &amp; ROW()))</f>
        <v>Rohit Prajapat</v>
      </c>
      <c r="D108" s="8" t="str" cm="1">
        <f t="array" aca="1" ref="D108" ca="1">IF(INDIRECT("'Student_Record 1'!G" &amp; ROW())="", "", INDIRECT("'Student_Record 1'!G" &amp; ROW()))</f>
        <v>Ram Singh Prajapat</v>
      </c>
      <c r="E108" s="8" t="str" cm="1">
        <f t="array" aca="1" ref="E108" ca="1">IF(INDIRECT("'Student_Record 1'!I" &amp; ROW())="", "", INDIRECT("'Student_Record 1'!I" &amp; ROW()))</f>
        <v>M</v>
      </c>
      <c r="F108" s="8" t="str" cm="1">
        <f t="array" aca="1" ref="F108" ca="1">IF(INDIRECT("'Student_Record 1'!O" &amp; ROW())="", "", INDIRECT("'Student_Record 1'!O" &amp; ROW()))</f>
        <v>OBC</v>
      </c>
      <c r="G108" s="11"/>
      <c r="I108" s="11"/>
      <c r="J108" s="11"/>
      <c r="K108" s="11"/>
      <c r="L108" s="11"/>
      <c r="M108" s="11"/>
      <c r="N108" s="11"/>
      <c r="O108" s="11"/>
      <c r="P108" s="11"/>
      <c r="Q108" s="11"/>
    </row>
    <row r="109" spans="1:17" x14ac:dyDescent="0.25">
      <c r="A109" s="8" cm="1">
        <f t="array" aca="1" ref="A109" ca="1">IF(INDIRECT("'Student_Record 1'!A" &amp; ROW())="", "", INDIRECT("'Student_Record 1'!A" &amp; ROW()))</f>
        <v>5</v>
      </c>
      <c r="B109" s="8" cm="1">
        <f t="array" aca="1" ref="B109" ca="1">IF(INDIRECT("'Student_Record 1'!C" &amp; ROW())="", "", INDIRECT("'Student_Record 1'!C" &amp; ROW()))</f>
        <v>607</v>
      </c>
      <c r="C109" s="8" t="str" cm="1">
        <f t="array" aca="1" ref="C109" ca="1">IF(INDIRECT("'Student_Record 1'!E" &amp; ROW())="", "", INDIRECT("'Student_Record 1'!E" &amp; ROW()))</f>
        <v>Sachin Bansali</v>
      </c>
      <c r="D109" s="8" t="str" cm="1">
        <f t="array" aca="1" ref="D109" ca="1">IF(INDIRECT("'Student_Record 1'!G" &amp; ROW())="", "", INDIRECT("'Student_Record 1'!G" &amp; ROW()))</f>
        <v>Ramraj Bansali</v>
      </c>
      <c r="E109" s="8" t="str" cm="1">
        <f t="array" aca="1" ref="E109" ca="1">IF(INDIRECT("'Student_Record 1'!I" &amp; ROW())="", "", INDIRECT("'Student_Record 1'!I" &amp; ROW()))</f>
        <v>M</v>
      </c>
      <c r="F109" s="8" t="str" cm="1">
        <f t="array" aca="1" ref="F109" ca="1">IF(INDIRECT("'Student_Record 1'!O" &amp; ROW())="", "", INDIRECT("'Student_Record 1'!O" &amp; ROW()))</f>
        <v>SC</v>
      </c>
      <c r="G109" s="11"/>
      <c r="I109" s="11"/>
      <c r="J109" s="11"/>
      <c r="K109" s="11"/>
      <c r="L109" s="11"/>
      <c r="M109" s="11"/>
      <c r="N109" s="11"/>
      <c r="O109" s="11"/>
      <c r="P109" s="11"/>
      <c r="Q109" s="11"/>
    </row>
    <row r="110" spans="1:17" x14ac:dyDescent="0.25">
      <c r="A110" s="8" cm="1">
        <f t="array" aca="1" ref="A110" ca="1">IF(INDIRECT("'Student_Record 1'!A" &amp; ROW())="", "", INDIRECT("'Student_Record 1'!A" &amp; ROW()))</f>
        <v>5</v>
      </c>
      <c r="B110" s="8" cm="1">
        <f t="array" aca="1" ref="B110" ca="1">IF(INDIRECT("'Student_Record 1'!C" &amp; ROW())="", "", INDIRECT("'Student_Record 1'!C" &amp; ROW()))</f>
        <v>621</v>
      </c>
      <c r="C110" s="8" t="str" cm="1">
        <f t="array" aca="1" ref="C110" ca="1">IF(INDIRECT("'Student_Record 1'!E" &amp; ROW())="", "", INDIRECT("'Student_Record 1'!E" &amp; ROW()))</f>
        <v>Sagar</v>
      </c>
      <c r="D110" s="8" t="str" cm="1">
        <f t="array" aca="1" ref="D110" ca="1">IF(INDIRECT("'Student_Record 1'!G" &amp; ROW())="", "", INDIRECT("'Student_Record 1'!G" &amp; ROW()))</f>
        <v>Arjun</v>
      </c>
      <c r="E110" s="8" t="str" cm="1">
        <f t="array" aca="1" ref="E110" ca="1">IF(INDIRECT("'Student_Record 1'!I" &amp; ROW())="", "", INDIRECT("'Student_Record 1'!I" &amp; ROW()))</f>
        <v>M</v>
      </c>
      <c r="F110" s="8" t="str" cm="1">
        <f t="array" aca="1" ref="F110" ca="1">IF(INDIRECT("'Student_Record 1'!O" &amp; ROW())="", "", INDIRECT("'Student_Record 1'!O" &amp; ROW()))</f>
        <v>SC</v>
      </c>
      <c r="G110" s="11"/>
      <c r="I110" s="11"/>
      <c r="J110" s="11"/>
      <c r="K110" s="11"/>
      <c r="L110" s="11"/>
      <c r="M110" s="11"/>
      <c r="N110" s="11"/>
      <c r="O110" s="11"/>
      <c r="P110" s="11"/>
      <c r="Q110" s="11"/>
    </row>
    <row r="111" spans="1:17" x14ac:dyDescent="0.25">
      <c r="A111" s="8" cm="1">
        <f t="array" aca="1" ref="A111" ca="1">IF(INDIRECT("'Student_Record 1'!A" &amp; ROW())="", "", INDIRECT("'Student_Record 1'!A" &amp; ROW()))</f>
        <v>5</v>
      </c>
      <c r="B111" s="8" cm="1">
        <f t="array" aca="1" ref="B111" ca="1">IF(INDIRECT("'Student_Record 1'!C" &amp; ROW())="", "", INDIRECT("'Student_Record 1'!C" &amp; ROW()))</f>
        <v>736</v>
      </c>
      <c r="C111" s="8" t="str" cm="1">
        <f t="array" aca="1" ref="C111" ca="1">IF(INDIRECT("'Student_Record 1'!E" &amp; ROW())="", "", INDIRECT("'Student_Record 1'!E" &amp; ROW()))</f>
        <v>Sarita Prajapat</v>
      </c>
      <c r="D111" s="8" t="str" cm="1">
        <f t="array" aca="1" ref="D111" ca="1">IF(INDIRECT("'Student_Record 1'!G" &amp; ROW())="", "", INDIRECT("'Student_Record 1'!G" &amp; ROW()))</f>
        <v>Mukesh</v>
      </c>
      <c r="E111" s="8" t="str" cm="1">
        <f t="array" aca="1" ref="E111" ca="1">IF(INDIRECT("'Student_Record 1'!I" &amp; ROW())="", "", INDIRECT("'Student_Record 1'!I" &amp; ROW()))</f>
        <v>F</v>
      </c>
      <c r="F111" s="8" t="str" cm="1">
        <f t="array" aca="1" ref="F111" ca="1">IF(INDIRECT("'Student_Record 1'!O" &amp; ROW())="", "", INDIRECT("'Student_Record 1'!O" &amp; ROW()))</f>
        <v>OBC</v>
      </c>
      <c r="G111" s="11"/>
      <c r="I111" s="11"/>
      <c r="J111" s="11"/>
      <c r="K111" s="11"/>
      <c r="L111" s="11"/>
      <c r="M111" s="11"/>
      <c r="N111" s="11"/>
      <c r="O111" s="11"/>
      <c r="P111" s="11"/>
      <c r="Q111" s="11"/>
    </row>
    <row r="112" spans="1:17" x14ac:dyDescent="0.25">
      <c r="A112" s="8" cm="1">
        <f t="array" aca="1" ref="A112" ca="1">IF(INDIRECT("'Student_Record 1'!A" &amp; ROW())="", "", INDIRECT("'Student_Record 1'!A" &amp; ROW()))</f>
        <v>5</v>
      </c>
      <c r="B112" s="8" cm="1">
        <f t="array" aca="1" ref="B112" ca="1">IF(INDIRECT("'Student_Record 1'!C" &amp; ROW())="", "", INDIRECT("'Student_Record 1'!C" &amp; ROW()))</f>
        <v>609</v>
      </c>
      <c r="C112" s="8" t="str" cm="1">
        <f t="array" aca="1" ref="C112" ca="1">IF(INDIRECT("'Student_Record 1'!E" &amp; ROW())="", "", INDIRECT("'Student_Record 1'!E" &amp; ROW()))</f>
        <v>Suman Bheel</v>
      </c>
      <c r="D112" s="8" t="str" cm="1">
        <f t="array" aca="1" ref="D112" ca="1">IF(INDIRECT("'Student_Record 1'!G" &amp; ROW())="", "", INDIRECT("'Student_Record 1'!G" &amp; ROW()))</f>
        <v>Chhotu Bheel</v>
      </c>
      <c r="E112" s="8" t="str" cm="1">
        <f t="array" aca="1" ref="E112" ca="1">IF(INDIRECT("'Student_Record 1'!I" &amp; ROW())="", "", INDIRECT("'Student_Record 1'!I" &amp; ROW()))</f>
        <v>F</v>
      </c>
      <c r="F112" s="8" t="str" cm="1">
        <f t="array" aca="1" ref="F112" ca="1">IF(INDIRECT("'Student_Record 1'!O" &amp; ROW())="", "", INDIRECT("'Student_Record 1'!O" &amp; ROW()))</f>
        <v>ST</v>
      </c>
      <c r="G112" s="11"/>
      <c r="I112" s="11"/>
      <c r="J112" s="11"/>
      <c r="K112" s="11"/>
      <c r="L112" s="11"/>
      <c r="M112" s="11"/>
      <c r="N112" s="11"/>
      <c r="O112" s="11"/>
      <c r="P112" s="11"/>
      <c r="Q112" s="11"/>
    </row>
    <row r="113" spans="1:17" x14ac:dyDescent="0.25">
      <c r="A113" s="8" cm="1">
        <f t="array" aca="1" ref="A113" ca="1">IF(INDIRECT("'Student_Record 1'!A" &amp; ROW())="", "", INDIRECT("'Student_Record 1'!A" &amp; ROW()))</f>
        <v>5</v>
      </c>
      <c r="B113" s="8" cm="1">
        <f t="array" aca="1" ref="B113" ca="1">IF(INDIRECT("'Student_Record 1'!C" &amp; ROW())="", "", INDIRECT("'Student_Record 1'!C" &amp; ROW()))</f>
        <v>613</v>
      </c>
      <c r="C113" s="8" t="str" cm="1">
        <f t="array" aca="1" ref="C113" ca="1">IF(INDIRECT("'Student_Record 1'!E" &amp; ROW())="", "", INDIRECT("'Student_Record 1'!E" &amp; ROW()))</f>
        <v>Sunil Meghwanshi</v>
      </c>
      <c r="D113" s="8" t="str" cm="1">
        <f t="array" aca="1" ref="D113" ca="1">IF(INDIRECT("'Student_Record 1'!G" &amp; ROW())="", "", INDIRECT("'Student_Record 1'!G" &amp; ROW()))</f>
        <v>Seetaram Meghwanshi</v>
      </c>
      <c r="E113" s="8" t="str" cm="1">
        <f t="array" aca="1" ref="E113" ca="1">IF(INDIRECT("'Student_Record 1'!I" &amp; ROW())="", "", INDIRECT("'Student_Record 1'!I" &amp; ROW()))</f>
        <v>M</v>
      </c>
      <c r="F113" s="8" t="str" cm="1">
        <f t="array" aca="1" ref="F113" ca="1">IF(INDIRECT("'Student_Record 1'!O" &amp; ROW())="", "", INDIRECT("'Student_Record 1'!O" &amp; ROW()))</f>
        <v>SC</v>
      </c>
      <c r="G113" s="11"/>
      <c r="I113" s="11"/>
      <c r="J113" s="11"/>
      <c r="K113" s="11"/>
      <c r="L113" s="11"/>
      <c r="M113" s="11"/>
      <c r="N113" s="11"/>
      <c r="O113" s="11"/>
      <c r="P113" s="11"/>
      <c r="Q113" s="11"/>
    </row>
    <row r="114" spans="1:17" x14ac:dyDescent="0.25">
      <c r="A114" s="8" cm="1">
        <f t="array" aca="1" ref="A114" ca="1">IF(INDIRECT("'Student_Record 1'!A" &amp; ROW())="", "", INDIRECT("'Student_Record 1'!A" &amp; ROW()))</f>
        <v>5</v>
      </c>
      <c r="B114" s="8" cm="1">
        <f t="array" aca="1" ref="B114" ca="1">IF(INDIRECT("'Student_Record 1'!C" &amp; ROW())="", "", INDIRECT("'Student_Record 1'!C" &amp; ROW()))</f>
        <v>667</v>
      </c>
      <c r="C114" s="8" t="str" cm="1">
        <f t="array" aca="1" ref="C114" ca="1">IF(INDIRECT("'Student_Record 1'!E" &amp; ROW())="", "", INDIRECT("'Student_Record 1'!E" &amp; ROW()))</f>
        <v>Surendra Prajapat</v>
      </c>
      <c r="D114" s="8" t="str" cm="1">
        <f t="array" aca="1" ref="D114" ca="1">IF(INDIRECT("'Student_Record 1'!G" &amp; ROW())="", "", INDIRECT("'Student_Record 1'!G" &amp; ROW()))</f>
        <v>Ramlal Prajapat</v>
      </c>
      <c r="E114" s="8" t="str" cm="1">
        <f t="array" aca="1" ref="E114" ca="1">IF(INDIRECT("'Student_Record 1'!I" &amp; ROW())="", "", INDIRECT("'Student_Record 1'!I" &amp; ROW()))</f>
        <v>M</v>
      </c>
      <c r="F114" s="8" t="str" cm="1">
        <f t="array" aca="1" ref="F114" ca="1">IF(INDIRECT("'Student_Record 1'!O" &amp; ROW())="", "", INDIRECT("'Student_Record 1'!O" &amp; ROW()))</f>
        <v>OBC</v>
      </c>
      <c r="G114" s="11"/>
      <c r="I114" s="11"/>
      <c r="J114" s="11"/>
      <c r="K114" s="11"/>
      <c r="L114" s="11"/>
      <c r="M114" s="11"/>
      <c r="N114" s="11"/>
      <c r="O114" s="11"/>
      <c r="P114" s="11"/>
      <c r="Q114" s="11"/>
    </row>
    <row r="115" spans="1:17" x14ac:dyDescent="0.25">
      <c r="A115" s="8" cm="1">
        <f t="array" aca="1" ref="A115" ca="1">IF(INDIRECT("'Student_Record 1'!A" &amp; ROW())="", "", INDIRECT("'Student_Record 1'!A" &amp; ROW()))</f>
        <v>5</v>
      </c>
      <c r="B115" s="8" cm="1">
        <f t="array" aca="1" ref="B115" ca="1">IF(INDIRECT("'Student_Record 1'!C" &amp; ROW())="", "", INDIRECT("'Student_Record 1'!C" &amp; ROW()))</f>
        <v>612</v>
      </c>
      <c r="C115" s="8" t="str" cm="1">
        <f t="array" aca="1" ref="C115" ca="1">IF(INDIRECT("'Student_Record 1'!E" &amp; ROW())="", "", INDIRECT("'Student_Record 1'!E" &amp; ROW()))</f>
        <v>Vikash Prajapat</v>
      </c>
      <c r="D115" s="8" t="str" cm="1">
        <f t="array" aca="1" ref="D115" ca="1">IF(INDIRECT("'Student_Record 1'!G" &amp; ROW())="", "", INDIRECT("'Student_Record 1'!G" &amp; ROW()))</f>
        <v>Prabhu Lal</v>
      </c>
      <c r="E115" s="8" t="str" cm="1">
        <f t="array" aca="1" ref="E115" ca="1">IF(INDIRECT("'Student_Record 1'!I" &amp; ROW())="", "", INDIRECT("'Student_Record 1'!I" &amp; ROW()))</f>
        <v>M</v>
      </c>
      <c r="F115" s="8" t="str" cm="1">
        <f t="array" aca="1" ref="F115" ca="1">IF(INDIRECT("'Student_Record 1'!O" &amp; ROW())="", "", INDIRECT("'Student_Record 1'!O" &amp; ROW()))</f>
        <v>OBC</v>
      </c>
      <c r="G115" s="11"/>
      <c r="I115" s="11"/>
      <c r="J115" s="11"/>
      <c r="K115" s="11"/>
      <c r="L115" s="11"/>
      <c r="M115" s="11"/>
      <c r="N115" s="11"/>
      <c r="O115" s="11"/>
      <c r="P115" s="11"/>
      <c r="Q115" s="11"/>
    </row>
    <row r="116" spans="1:17" x14ac:dyDescent="0.25">
      <c r="A116" s="8" cm="1">
        <f t="array" aca="1" ref="A116" ca="1">IF(INDIRECT("'Student_Record 1'!A" &amp; ROW())="", "", INDIRECT("'Student_Record 1'!A" &amp; ROW()))</f>
        <v>6</v>
      </c>
      <c r="B116" s="8" cm="1">
        <f t="array" aca="1" ref="B116" ca="1">IF(INDIRECT("'Student_Record 1'!C" &amp; ROW())="", "", INDIRECT("'Student_Record 1'!C" &amp; ROW()))</f>
        <v>546</v>
      </c>
      <c r="C116" s="8" t="str" cm="1">
        <f t="array" aca="1" ref="C116" ca="1">IF(INDIRECT("'Student_Record 1'!E" &amp; ROW())="", "", INDIRECT("'Student_Record 1'!E" &amp; ROW()))</f>
        <v>ADESH CHOUDHARY</v>
      </c>
      <c r="D116" s="8" t="str" cm="1">
        <f t="array" aca="1" ref="D116" ca="1">IF(INDIRECT("'Student_Record 1'!G" &amp; ROW())="", "", INDIRECT("'Student_Record 1'!G" &amp; ROW()))</f>
        <v>SARDAR CHOUDHARY</v>
      </c>
      <c r="E116" s="8" t="str" cm="1">
        <f t="array" aca="1" ref="E116" ca="1">IF(INDIRECT("'Student_Record 1'!I" &amp; ROW())="", "", INDIRECT("'Student_Record 1'!I" &amp; ROW()))</f>
        <v>M</v>
      </c>
      <c r="F116" s="8" t="str" cm="1">
        <f t="array" aca="1" ref="F116" ca="1">IF(INDIRECT("'Student_Record 1'!O" &amp; ROW())="", "", INDIRECT("'Student_Record 1'!O" &amp; ROW()))</f>
        <v>OBC</v>
      </c>
      <c r="G116" s="11"/>
      <c r="I116" s="11"/>
      <c r="J116" s="11"/>
      <c r="K116" s="11"/>
      <c r="L116" s="11"/>
      <c r="M116" s="11"/>
      <c r="N116" s="11"/>
      <c r="O116" s="11"/>
      <c r="P116" s="11"/>
      <c r="Q116" s="11"/>
    </row>
    <row r="117" spans="1:17" x14ac:dyDescent="0.25">
      <c r="A117" s="8" cm="1">
        <f t="array" aca="1" ref="A117" ca="1">IF(INDIRECT("'Student_Record 1'!A" &amp; ROW())="", "", INDIRECT("'Student_Record 1'!A" &amp; ROW()))</f>
        <v>6</v>
      </c>
      <c r="B117" s="8" cm="1">
        <f t="array" aca="1" ref="B117" ca="1">IF(INDIRECT("'Student_Record 1'!C" &amp; ROW())="", "", INDIRECT("'Student_Record 1'!C" &amp; ROW()))</f>
        <v>660</v>
      </c>
      <c r="C117" s="8" t="str" cm="1">
        <f t="array" aca="1" ref="C117" ca="1">IF(INDIRECT("'Student_Record 1'!E" &amp; ROW())="", "", INDIRECT("'Student_Record 1'!E" &amp; ROW()))</f>
        <v>Anjali</v>
      </c>
      <c r="D117" s="8" t="str" cm="1">
        <f t="array" aca="1" ref="D117" ca="1">IF(INDIRECT("'Student_Record 1'!G" &amp; ROW())="", "", INDIRECT("'Student_Record 1'!G" &amp; ROW()))</f>
        <v>Ramsingh</v>
      </c>
      <c r="E117" s="8" t="str" cm="1">
        <f t="array" aca="1" ref="E117" ca="1">IF(INDIRECT("'Student_Record 1'!I" &amp; ROW())="", "", INDIRECT("'Student_Record 1'!I" &amp; ROW()))</f>
        <v>F</v>
      </c>
      <c r="F117" s="8" t="str" cm="1">
        <f t="array" aca="1" ref="F117" ca="1">IF(INDIRECT("'Student_Record 1'!O" &amp; ROW())="", "", INDIRECT("'Student_Record 1'!O" &amp; ROW()))</f>
        <v>OBC</v>
      </c>
      <c r="G117" s="11"/>
      <c r="I117" s="11"/>
      <c r="J117" s="11"/>
      <c r="K117" s="11"/>
      <c r="L117" s="11"/>
      <c r="M117" s="11"/>
      <c r="N117" s="11"/>
      <c r="O117" s="11"/>
      <c r="P117" s="11"/>
      <c r="Q117" s="11"/>
    </row>
    <row r="118" spans="1:17" x14ac:dyDescent="0.25">
      <c r="A118" s="8" cm="1">
        <f t="array" aca="1" ref="A118" ca="1">IF(INDIRECT("'Student_Record 1'!A" &amp; ROW())="", "", INDIRECT("'Student_Record 1'!A" &amp; ROW()))</f>
        <v>6</v>
      </c>
      <c r="B118" s="8" cm="1">
        <f t="array" aca="1" ref="B118" ca="1">IF(INDIRECT("'Student_Record 1'!C" &amp; ROW())="", "", INDIRECT("'Student_Record 1'!C" &amp; ROW()))</f>
        <v>659</v>
      </c>
      <c r="C118" s="8" t="str" cm="1">
        <f t="array" aca="1" ref="C118" ca="1">IF(INDIRECT("'Student_Record 1'!E" &amp; ROW())="", "", INDIRECT("'Student_Record 1'!E" &amp; ROW()))</f>
        <v>Ankar Jat</v>
      </c>
      <c r="D118" s="8" t="str" cm="1">
        <f t="array" aca="1" ref="D118" ca="1">IF(INDIRECT("'Student_Record 1'!G" &amp; ROW())="", "", INDIRECT("'Student_Record 1'!G" &amp; ROW()))</f>
        <v>Dhanraj Jat</v>
      </c>
      <c r="E118" s="8" t="str" cm="1">
        <f t="array" aca="1" ref="E118" ca="1">IF(INDIRECT("'Student_Record 1'!I" &amp; ROW())="", "", INDIRECT("'Student_Record 1'!I" &amp; ROW()))</f>
        <v>F</v>
      </c>
      <c r="F118" s="8" t="str" cm="1">
        <f t="array" aca="1" ref="F118" ca="1">IF(INDIRECT("'Student_Record 1'!O" &amp; ROW())="", "", INDIRECT("'Student_Record 1'!O" &amp; ROW()))</f>
        <v>OBC</v>
      </c>
      <c r="G118" s="11"/>
      <c r="I118" s="11"/>
      <c r="J118" s="11"/>
      <c r="K118" s="11"/>
      <c r="L118" s="11"/>
      <c r="M118" s="11"/>
      <c r="N118" s="11"/>
      <c r="O118" s="11"/>
      <c r="P118" s="11"/>
      <c r="Q118" s="11"/>
    </row>
    <row r="119" spans="1:17" x14ac:dyDescent="0.25">
      <c r="A119" s="8" cm="1">
        <f t="array" aca="1" ref="A119" ca="1">IF(INDIRECT("'Student_Record 1'!A" &amp; ROW())="", "", INDIRECT("'Student_Record 1'!A" &amp; ROW()))</f>
        <v>6</v>
      </c>
      <c r="B119" s="8" cm="1">
        <f t="array" aca="1" ref="B119" ca="1">IF(INDIRECT("'Student_Record 1'!C" &amp; ROW())="", "", INDIRECT("'Student_Record 1'!C" &amp; ROW()))</f>
        <v>556</v>
      </c>
      <c r="C119" s="8" t="str" cm="1">
        <f t="array" aca="1" ref="C119" ca="1">IF(INDIRECT("'Student_Record 1'!E" &amp; ROW())="", "", INDIRECT("'Student_Record 1'!E" &amp; ROW()))</f>
        <v>ANKIT JAT</v>
      </c>
      <c r="D119" s="8" t="str" cm="1">
        <f t="array" aca="1" ref="D119" ca="1">IF(INDIRECT("'Student_Record 1'!G" &amp; ROW())="", "", INDIRECT("'Student_Record 1'!G" &amp; ROW()))</f>
        <v>JAI SINGH JAT</v>
      </c>
      <c r="E119" s="8" t="str" cm="1">
        <f t="array" aca="1" ref="E119" ca="1">IF(INDIRECT("'Student_Record 1'!I" &amp; ROW())="", "", INDIRECT("'Student_Record 1'!I" &amp; ROW()))</f>
        <v>M</v>
      </c>
      <c r="F119" s="8" t="str" cm="1">
        <f t="array" aca="1" ref="F119" ca="1">IF(INDIRECT("'Student_Record 1'!O" &amp; ROW())="", "", INDIRECT("'Student_Record 1'!O" &amp; ROW()))</f>
        <v>OBC</v>
      </c>
      <c r="G119" s="11"/>
      <c r="I119" s="11"/>
      <c r="J119" s="11"/>
      <c r="K119" s="11"/>
      <c r="L119" s="11"/>
      <c r="M119" s="11"/>
      <c r="N119" s="11"/>
      <c r="O119" s="11"/>
      <c r="P119" s="11"/>
      <c r="Q119" s="11"/>
    </row>
    <row r="120" spans="1:17" x14ac:dyDescent="0.25">
      <c r="A120" s="8" cm="1">
        <f t="array" aca="1" ref="A120" ca="1">IF(INDIRECT("'Student_Record 1'!A" &amp; ROW())="", "", INDIRECT("'Student_Record 1'!A" &amp; ROW()))</f>
        <v>6</v>
      </c>
      <c r="B120" s="8" cm="1">
        <f t="array" aca="1" ref="B120" ca="1">IF(INDIRECT("'Student_Record 1'!C" &amp; ROW())="", "", INDIRECT("'Student_Record 1'!C" &amp; ROW()))</f>
        <v>458</v>
      </c>
      <c r="C120" s="8" t="str" cm="1">
        <f t="array" aca="1" ref="C120" ca="1">IF(INDIRECT("'Student_Record 1'!E" &amp; ROW())="", "", INDIRECT("'Student_Record 1'!E" &amp; ROW()))</f>
        <v>DILIP CHOUDHARY</v>
      </c>
      <c r="D120" s="8" t="str" cm="1">
        <f t="array" aca="1" ref="D120" ca="1">IF(INDIRECT("'Student_Record 1'!G" &amp; ROW())="", "", INDIRECT("'Student_Record 1'!G" &amp; ROW()))</f>
        <v>PRADHAN CHOUDHARY</v>
      </c>
      <c r="E120" s="8" t="str" cm="1">
        <f t="array" aca="1" ref="E120" ca="1">IF(INDIRECT("'Student_Record 1'!I" &amp; ROW())="", "", INDIRECT("'Student_Record 1'!I" &amp; ROW()))</f>
        <v>M</v>
      </c>
      <c r="F120" s="8" t="str" cm="1">
        <f t="array" aca="1" ref="F120" ca="1">IF(INDIRECT("'Student_Record 1'!O" &amp; ROW())="", "", INDIRECT("'Student_Record 1'!O" &amp; ROW()))</f>
        <v>OBC</v>
      </c>
      <c r="G120" s="11"/>
      <c r="I120" s="11"/>
      <c r="J120" s="11"/>
      <c r="K120" s="11"/>
      <c r="L120" s="11"/>
      <c r="M120" s="11"/>
      <c r="N120" s="11"/>
      <c r="O120" s="11"/>
      <c r="P120" s="11"/>
      <c r="Q120" s="11"/>
    </row>
    <row r="121" spans="1:17" x14ac:dyDescent="0.25">
      <c r="A121" s="8" cm="1">
        <f t="array" aca="1" ref="A121" ca="1">IF(INDIRECT("'Student_Record 1'!A" &amp; ROW())="", "", INDIRECT("'Student_Record 1'!A" &amp; ROW()))</f>
        <v>6</v>
      </c>
      <c r="B121" s="8" cm="1">
        <f t="array" aca="1" ref="B121" ca="1">IF(INDIRECT("'Student_Record 1'!C" &amp; ROW())="", "", INDIRECT("'Student_Record 1'!C" &amp; ROW()))</f>
        <v>603</v>
      </c>
      <c r="C121" s="8" t="str" cm="1">
        <f t="array" aca="1" ref="C121" ca="1">IF(INDIRECT("'Student_Record 1'!E" &amp; ROW())="", "", INDIRECT("'Student_Record 1'!E" &amp; ROW()))</f>
        <v>Dinesh Prajapat</v>
      </c>
      <c r="D121" s="8" t="str" cm="1">
        <f t="array" aca="1" ref="D121" ca="1">IF(INDIRECT("'Student_Record 1'!G" &amp; ROW())="", "", INDIRECT("'Student_Record 1'!G" &amp; ROW()))</f>
        <v>Kailash Prajapat</v>
      </c>
      <c r="E121" s="8" t="str" cm="1">
        <f t="array" aca="1" ref="E121" ca="1">IF(INDIRECT("'Student_Record 1'!I" &amp; ROW())="", "", INDIRECT("'Student_Record 1'!I" &amp; ROW()))</f>
        <v>M</v>
      </c>
      <c r="F121" s="8" t="str" cm="1">
        <f t="array" aca="1" ref="F121" ca="1">IF(INDIRECT("'Student_Record 1'!O" &amp; ROW())="", "", INDIRECT("'Student_Record 1'!O" &amp; ROW()))</f>
        <v>OBC</v>
      </c>
      <c r="G121" s="11"/>
      <c r="I121" s="11"/>
      <c r="J121" s="11"/>
      <c r="K121" s="11"/>
      <c r="L121" s="11"/>
      <c r="M121" s="11"/>
      <c r="N121" s="11"/>
      <c r="O121" s="11"/>
      <c r="P121" s="11"/>
      <c r="Q121" s="11"/>
    </row>
    <row r="122" spans="1:17" x14ac:dyDescent="0.25">
      <c r="A122" s="8" cm="1">
        <f t="array" aca="1" ref="A122" ca="1">IF(INDIRECT("'Student_Record 1'!A" &amp; ROW())="", "", INDIRECT("'Student_Record 1'!A" &amp; ROW()))</f>
        <v>6</v>
      </c>
      <c r="B122" s="8" cm="1">
        <f t="array" aca="1" ref="B122" ca="1">IF(INDIRECT("'Student_Record 1'!C" &amp; ROW())="", "", INDIRECT("'Student_Record 1'!C" &amp; ROW()))</f>
        <v>908</v>
      </c>
      <c r="C122" s="8" t="str" cm="1">
        <f t="array" aca="1" ref="C122" ca="1">IF(INDIRECT("'Student_Record 1'!E" &amp; ROW())="", "", INDIRECT("'Student_Record 1'!E" &amp; ROW()))</f>
        <v>Gyanwanti Devi Bheel</v>
      </c>
      <c r="D122" s="8" t="str" cm="1">
        <f t="array" aca="1" ref="D122" ca="1">IF(INDIRECT("'Student_Record 1'!G" &amp; ROW())="", "", INDIRECT("'Student_Record 1'!G" &amp; ROW()))</f>
        <v>Nathu Bheel</v>
      </c>
      <c r="E122" s="8" t="str" cm="1">
        <f t="array" aca="1" ref="E122" ca="1">IF(INDIRECT("'Student_Record 1'!I" &amp; ROW())="", "", INDIRECT("'Student_Record 1'!I" &amp; ROW()))</f>
        <v>F</v>
      </c>
      <c r="F122" s="8" t="str" cm="1">
        <f t="array" aca="1" ref="F122" ca="1">IF(INDIRECT("'Student_Record 1'!O" &amp; ROW())="", "", INDIRECT("'Student_Record 1'!O" &amp; ROW()))</f>
        <v>ST</v>
      </c>
      <c r="G122" s="11"/>
      <c r="I122" s="11"/>
      <c r="J122" s="11"/>
      <c r="K122" s="11"/>
      <c r="L122" s="11"/>
      <c r="M122" s="11"/>
      <c r="N122" s="11"/>
      <c r="O122" s="11"/>
      <c r="P122" s="11"/>
      <c r="Q122" s="11"/>
    </row>
    <row r="123" spans="1:17" x14ac:dyDescent="0.25">
      <c r="A123" s="8" cm="1">
        <f t="array" aca="1" ref="A123" ca="1">IF(INDIRECT("'Student_Record 1'!A" &amp; ROW())="", "", INDIRECT("'Student_Record 1'!A" &amp; ROW()))</f>
        <v>6</v>
      </c>
      <c r="B123" s="8" cm="1">
        <f t="array" aca="1" ref="B123" ca="1">IF(INDIRECT("'Student_Record 1'!C" &amp; ROW())="", "", INDIRECT("'Student_Record 1'!C" &amp; ROW()))</f>
        <v>560</v>
      </c>
      <c r="C123" s="8" t="str" cm="1">
        <f t="array" aca="1" ref="C123" ca="1">IF(INDIRECT("'Student_Record 1'!E" &amp; ROW())="", "", INDIRECT("'Student_Record 1'!E" &amp; ROW()))</f>
        <v>KHUSHIRAM PRAJAPAT</v>
      </c>
      <c r="D123" s="8" t="str" cm="1">
        <f t="array" aca="1" ref="D123" ca="1">IF(INDIRECT("'Student_Record 1'!G" &amp; ROW())="", "", INDIRECT("'Student_Record 1'!G" &amp; ROW()))</f>
        <v>RAMLAL PRAJAPAT</v>
      </c>
      <c r="E123" s="8" t="str" cm="1">
        <f t="array" aca="1" ref="E123" ca="1">IF(INDIRECT("'Student_Record 1'!I" &amp; ROW())="", "", INDIRECT("'Student_Record 1'!I" &amp; ROW()))</f>
        <v>M</v>
      </c>
      <c r="F123" s="8" t="str" cm="1">
        <f t="array" aca="1" ref="F123" ca="1">IF(INDIRECT("'Student_Record 1'!O" &amp; ROW())="", "", INDIRECT("'Student_Record 1'!O" &amp; ROW()))</f>
        <v>OBC</v>
      </c>
      <c r="G123" s="11"/>
      <c r="I123" s="11"/>
      <c r="J123" s="11"/>
      <c r="K123" s="11"/>
      <c r="L123" s="11"/>
      <c r="M123" s="11"/>
      <c r="N123" s="11"/>
      <c r="O123" s="11"/>
      <c r="P123" s="11"/>
      <c r="Q123" s="11"/>
    </row>
    <row r="124" spans="1:17" x14ac:dyDescent="0.25">
      <c r="A124" s="8" cm="1">
        <f t="array" aca="1" ref="A124" ca="1">IF(INDIRECT("'Student_Record 1'!A" &amp; ROW())="", "", INDIRECT("'Student_Record 1'!A" &amp; ROW()))</f>
        <v>6</v>
      </c>
      <c r="B124" s="8" cm="1">
        <f t="array" aca="1" ref="B124" ca="1">IF(INDIRECT("'Student_Record 1'!C" &amp; ROW())="", "", INDIRECT("'Student_Record 1'!C" &amp; ROW()))</f>
        <v>891</v>
      </c>
      <c r="C124" s="8" t="str" cm="1">
        <f t="array" aca="1" ref="C124" ca="1">IF(INDIRECT("'Student_Record 1'!E" &amp; ROW())="", "", INDIRECT("'Student_Record 1'!E" &amp; ROW()))</f>
        <v>Kiran Devi Bheel</v>
      </c>
      <c r="D124" s="8" t="str" cm="1">
        <f t="array" aca="1" ref="D124" ca="1">IF(INDIRECT("'Student_Record 1'!G" &amp; ROW())="", "", INDIRECT("'Student_Record 1'!G" &amp; ROW()))</f>
        <v>Shaitan Bheel</v>
      </c>
      <c r="E124" s="8" t="str" cm="1">
        <f t="array" aca="1" ref="E124" ca="1">IF(INDIRECT("'Student_Record 1'!I" &amp; ROW())="", "", INDIRECT("'Student_Record 1'!I" &amp; ROW()))</f>
        <v>F</v>
      </c>
      <c r="F124" s="8" t="str" cm="1">
        <f t="array" aca="1" ref="F124" ca="1">IF(INDIRECT("'Student_Record 1'!O" &amp; ROW())="", "", INDIRECT("'Student_Record 1'!O" &amp; ROW()))</f>
        <v>ST</v>
      </c>
      <c r="G124" s="11"/>
      <c r="I124" s="11"/>
      <c r="J124" s="11"/>
      <c r="K124" s="11"/>
      <c r="L124" s="11"/>
      <c r="M124" s="11"/>
      <c r="N124" s="11"/>
      <c r="O124" s="11"/>
      <c r="P124" s="11"/>
      <c r="Q124" s="11"/>
    </row>
    <row r="125" spans="1:17" x14ac:dyDescent="0.25">
      <c r="A125" s="8" cm="1">
        <f t="array" aca="1" ref="A125" ca="1">IF(INDIRECT("'Student_Record 1'!A" &amp; ROW())="", "", INDIRECT("'Student_Record 1'!A" &amp; ROW()))</f>
        <v>6</v>
      </c>
      <c r="B125" s="8" cm="1">
        <f t="array" aca="1" ref="B125" ca="1">IF(INDIRECT("'Student_Record 1'!C" &amp; ROW())="", "", INDIRECT("'Student_Record 1'!C" &amp; ROW()))</f>
        <v>716</v>
      </c>
      <c r="C125" s="8" t="str" cm="1">
        <f t="array" aca="1" ref="C125" ca="1">IF(INDIRECT("'Student_Record 1'!E" &amp; ROW())="", "", INDIRECT("'Student_Record 1'!E" &amp; ROW()))</f>
        <v>KOMAL CHOUDHARY</v>
      </c>
      <c r="D125" s="8" t="str" cm="1">
        <f t="array" aca="1" ref="D125" ca="1">IF(INDIRECT("'Student_Record 1'!G" &amp; ROW())="", "", INDIRECT("'Student_Record 1'!G" &amp; ROW()))</f>
        <v>DHANRAJ CHOUDHARY</v>
      </c>
      <c r="E125" s="8" t="str" cm="1">
        <f t="array" aca="1" ref="E125" ca="1">IF(INDIRECT("'Student_Record 1'!I" &amp; ROW())="", "", INDIRECT("'Student_Record 1'!I" &amp; ROW()))</f>
        <v>F</v>
      </c>
      <c r="F125" s="8" t="str" cm="1">
        <f t="array" aca="1" ref="F125" ca="1">IF(INDIRECT("'Student_Record 1'!O" &amp; ROW())="", "", INDIRECT("'Student_Record 1'!O" &amp; ROW()))</f>
        <v>OBC</v>
      </c>
      <c r="G125" s="11"/>
      <c r="I125" s="11"/>
      <c r="J125" s="11"/>
      <c r="K125" s="11"/>
      <c r="L125" s="11"/>
      <c r="M125" s="11"/>
      <c r="N125" s="11"/>
      <c r="O125" s="11"/>
      <c r="P125" s="11"/>
      <c r="Q125" s="11"/>
    </row>
    <row r="126" spans="1:17" x14ac:dyDescent="0.25">
      <c r="A126" s="8" cm="1">
        <f t="array" aca="1" ref="A126" ca="1">IF(INDIRECT("'Student_Record 1'!A" &amp; ROW())="", "", INDIRECT("'Student_Record 1'!A" &amp; ROW()))</f>
        <v>6</v>
      </c>
      <c r="B126" s="8" cm="1">
        <f t="array" aca="1" ref="B126" ca="1">IF(INDIRECT("'Student_Record 1'!C" &amp; ROW())="", "", INDIRECT("'Student_Record 1'!C" &amp; ROW()))</f>
        <v>593</v>
      </c>
      <c r="C126" s="8" t="str" cm="1">
        <f t="array" aca="1" ref="C126" ca="1">IF(INDIRECT("'Student_Record 1'!E" &amp; ROW())="", "", INDIRECT("'Student_Record 1'!E" &amp; ROW()))</f>
        <v>Komal Jat</v>
      </c>
      <c r="D126" s="8" t="str" cm="1">
        <f t="array" aca="1" ref="D126" ca="1">IF(INDIRECT("'Student_Record 1'!G" &amp; ROW())="", "", INDIRECT("'Student_Record 1'!G" &amp; ROW()))</f>
        <v>Hemraj Jat</v>
      </c>
      <c r="E126" s="8" t="str" cm="1">
        <f t="array" aca="1" ref="E126" ca="1">IF(INDIRECT("'Student_Record 1'!I" &amp; ROW())="", "", INDIRECT("'Student_Record 1'!I" &amp; ROW()))</f>
        <v>F</v>
      </c>
      <c r="F126" s="8" t="str" cm="1">
        <f t="array" aca="1" ref="F126" ca="1">IF(INDIRECT("'Student_Record 1'!O" &amp; ROW())="", "", INDIRECT("'Student_Record 1'!O" &amp; ROW()))</f>
        <v>OBC</v>
      </c>
      <c r="G126" s="11"/>
      <c r="I126" s="11"/>
      <c r="J126" s="11"/>
      <c r="K126" s="11"/>
      <c r="L126" s="11"/>
      <c r="M126" s="11"/>
      <c r="N126" s="11"/>
      <c r="O126" s="11"/>
      <c r="P126" s="11"/>
      <c r="Q126" s="11"/>
    </row>
    <row r="127" spans="1:17" x14ac:dyDescent="0.25">
      <c r="A127" s="8" cm="1">
        <f t="array" aca="1" ref="A127" ca="1">IF(INDIRECT("'Student_Record 1'!A" &amp; ROW())="", "", INDIRECT("'Student_Record 1'!A" &amp; ROW()))</f>
        <v>6</v>
      </c>
      <c r="B127" s="8" cm="1">
        <f t="array" aca="1" ref="B127" ca="1">IF(INDIRECT("'Student_Record 1'!C" &amp; ROW())="", "", INDIRECT("'Student_Record 1'!C" &amp; ROW()))</f>
        <v>530</v>
      </c>
      <c r="C127" s="8" t="str" cm="1">
        <f t="array" aca="1" ref="C127" ca="1">IF(INDIRECT("'Student_Record 1'!E" &amp; ROW())="", "", INDIRECT("'Student_Record 1'!E" &amp; ROW()))</f>
        <v>LOKESH PRAJAPAT</v>
      </c>
      <c r="D127" s="8" t="str" cm="1">
        <f t="array" aca="1" ref="D127" ca="1">IF(INDIRECT("'Student_Record 1'!G" &amp; ROW())="", "", INDIRECT("'Student_Record 1'!G" &amp; ROW()))</f>
        <v>PARASA RAM PRAJAPAT</v>
      </c>
      <c r="E127" s="8" t="str" cm="1">
        <f t="array" aca="1" ref="E127" ca="1">IF(INDIRECT("'Student_Record 1'!I" &amp; ROW())="", "", INDIRECT("'Student_Record 1'!I" &amp; ROW()))</f>
        <v>M</v>
      </c>
      <c r="F127" s="8" t="str" cm="1">
        <f t="array" aca="1" ref="F127" ca="1">IF(INDIRECT("'Student_Record 1'!O" &amp; ROW())="", "", INDIRECT("'Student_Record 1'!O" &amp; ROW()))</f>
        <v>OBC</v>
      </c>
      <c r="G127" s="11"/>
      <c r="I127" s="11"/>
      <c r="J127" s="11"/>
      <c r="K127" s="11"/>
      <c r="L127" s="11"/>
      <c r="M127" s="11"/>
      <c r="N127" s="11"/>
      <c r="O127" s="11"/>
      <c r="P127" s="11"/>
      <c r="Q127" s="11"/>
    </row>
    <row r="128" spans="1:17" x14ac:dyDescent="0.25">
      <c r="A128" s="8" cm="1">
        <f t="array" aca="1" ref="A128" ca="1">IF(INDIRECT("'Student_Record 1'!A" &amp; ROW())="", "", INDIRECT("'Student_Record 1'!A" &amp; ROW()))</f>
        <v>6</v>
      </c>
      <c r="B128" s="8" cm="1">
        <f t="array" aca="1" ref="B128" ca="1">IF(INDIRECT("'Student_Record 1'!C" &amp; ROW())="", "", INDIRECT("'Student_Record 1'!C" &amp; ROW()))</f>
        <v>454</v>
      </c>
      <c r="C128" s="8" t="str" cm="1">
        <f t="array" aca="1" ref="C128" ca="1">IF(INDIRECT("'Student_Record 1'!E" &amp; ROW())="", "", INDIRECT("'Student_Record 1'!E" &amp; ROW()))</f>
        <v>MAHENDRA CHOUDHARY</v>
      </c>
      <c r="D128" s="8" t="str" cm="1">
        <f t="array" aca="1" ref="D128" ca="1">IF(INDIRECT("'Student_Record 1'!G" &amp; ROW())="", "", INDIRECT("'Student_Record 1'!G" &amp; ROW()))</f>
        <v>RAMDAYAL CHOUDHARY</v>
      </c>
      <c r="E128" s="8" t="str" cm="1">
        <f t="array" aca="1" ref="E128" ca="1">IF(INDIRECT("'Student_Record 1'!I" &amp; ROW())="", "", INDIRECT("'Student_Record 1'!I" &amp; ROW()))</f>
        <v>M</v>
      </c>
      <c r="F128" s="8" t="str" cm="1">
        <f t="array" aca="1" ref="F128" ca="1">IF(INDIRECT("'Student_Record 1'!O" &amp; ROW())="", "", INDIRECT("'Student_Record 1'!O" &amp; ROW()))</f>
        <v>OBC</v>
      </c>
      <c r="G128" s="11"/>
      <c r="I128" s="11"/>
      <c r="J128" s="11"/>
      <c r="K128" s="11"/>
      <c r="L128" s="11"/>
      <c r="M128" s="11"/>
      <c r="N128" s="11"/>
      <c r="O128" s="11"/>
      <c r="P128" s="11"/>
      <c r="Q128" s="11"/>
    </row>
    <row r="129" spans="1:17" x14ac:dyDescent="0.25">
      <c r="A129" s="8" cm="1">
        <f t="array" aca="1" ref="A129" ca="1">IF(INDIRECT("'Student_Record 1'!A" &amp; ROW())="", "", INDIRECT("'Student_Record 1'!A" &amp; ROW()))</f>
        <v>6</v>
      </c>
      <c r="B129" s="8" cm="1">
        <f t="array" aca="1" ref="B129" ca="1">IF(INDIRECT("'Student_Record 1'!C" &amp; ROW())="", "", INDIRECT("'Student_Record 1'!C" &amp; ROW()))</f>
        <v>544</v>
      </c>
      <c r="C129" s="8" t="str" cm="1">
        <f t="array" aca="1" ref="C129" ca="1">IF(INDIRECT("'Student_Record 1'!E" &amp; ROW())="", "", INDIRECT("'Student_Record 1'!E" &amp; ROW()))</f>
        <v>MAHIPAL CHOUDHARY</v>
      </c>
      <c r="D129" s="8" t="str" cm="1">
        <f t="array" aca="1" ref="D129" ca="1">IF(INDIRECT("'Student_Record 1'!G" &amp; ROW())="", "", INDIRECT("'Student_Record 1'!G" &amp; ROW()))</f>
        <v>KANARAM CHOUDHARY</v>
      </c>
      <c r="E129" s="8" t="str" cm="1">
        <f t="array" aca="1" ref="E129" ca="1">IF(INDIRECT("'Student_Record 1'!I" &amp; ROW())="", "", INDIRECT("'Student_Record 1'!I" &amp; ROW()))</f>
        <v>M</v>
      </c>
      <c r="F129" s="8" t="str" cm="1">
        <f t="array" aca="1" ref="F129" ca="1">IF(INDIRECT("'Student_Record 1'!O" &amp; ROW())="", "", INDIRECT("'Student_Record 1'!O" &amp; ROW()))</f>
        <v>OBC</v>
      </c>
      <c r="G129" s="11"/>
      <c r="I129" s="11"/>
      <c r="J129" s="11"/>
      <c r="K129" s="11"/>
      <c r="L129" s="11"/>
      <c r="M129" s="11"/>
      <c r="N129" s="11"/>
      <c r="O129" s="11"/>
      <c r="P129" s="11"/>
      <c r="Q129" s="11"/>
    </row>
    <row r="130" spans="1:17" x14ac:dyDescent="0.25">
      <c r="A130" s="8" cm="1">
        <f t="array" aca="1" ref="A130" ca="1">IF(INDIRECT("'Student_Record 1'!A" &amp; ROW())="", "", INDIRECT("'Student_Record 1'!A" &amp; ROW()))</f>
        <v>6</v>
      </c>
      <c r="B130" s="8" cm="1">
        <f t="array" aca="1" ref="B130" ca="1">IF(INDIRECT("'Student_Record 1'!C" &amp; ROW())="", "", INDIRECT("'Student_Record 1'!C" &amp; ROW()))</f>
        <v>888</v>
      </c>
      <c r="C130" s="8" t="str" cm="1">
        <f t="array" aca="1" ref="C130" ca="1">IF(INDIRECT("'Student_Record 1'!E" &amp; ROW())="", "", INDIRECT("'Student_Record 1'!E" &amp; ROW()))</f>
        <v>Mamta Choudhary</v>
      </c>
      <c r="D130" s="8" t="str" cm="1">
        <f t="array" aca="1" ref="D130" ca="1">IF(INDIRECT("'Student_Record 1'!G" &amp; ROW())="", "", INDIRECT("'Student_Record 1'!G" &amp; ROW()))</f>
        <v>Kaluram Choudhary</v>
      </c>
      <c r="E130" s="8" t="str" cm="1">
        <f t="array" aca="1" ref="E130" ca="1">IF(INDIRECT("'Student_Record 1'!I" &amp; ROW())="", "", INDIRECT("'Student_Record 1'!I" &amp; ROW()))</f>
        <v>F</v>
      </c>
      <c r="F130" s="8" t="str" cm="1">
        <f t="array" aca="1" ref="F130" ca="1">IF(INDIRECT("'Student_Record 1'!O" &amp; ROW())="", "", INDIRECT("'Student_Record 1'!O" &amp; ROW()))</f>
        <v>OBC</v>
      </c>
      <c r="G130" s="11"/>
      <c r="I130" s="11"/>
      <c r="J130" s="11"/>
      <c r="K130" s="11"/>
      <c r="L130" s="11"/>
      <c r="M130" s="11"/>
      <c r="N130" s="11"/>
      <c r="O130" s="11"/>
      <c r="P130" s="11"/>
      <c r="Q130" s="11"/>
    </row>
    <row r="131" spans="1:17" x14ac:dyDescent="0.25">
      <c r="A131" s="8" cm="1">
        <f t="array" aca="1" ref="A131" ca="1">IF(INDIRECT("'Student_Record 1'!A" &amp; ROW())="", "", INDIRECT("'Student_Record 1'!A" &amp; ROW()))</f>
        <v>6</v>
      </c>
      <c r="B131" s="8" cm="1">
        <f t="array" aca="1" ref="B131" ca="1">IF(INDIRECT("'Student_Record 1'!C" &amp; ROW())="", "", INDIRECT("'Student_Record 1'!C" &amp; ROW()))</f>
        <v>592</v>
      </c>
      <c r="C131" s="8" t="str" cm="1">
        <f t="array" aca="1" ref="C131" ca="1">IF(INDIRECT("'Student_Record 1'!E" &amp; ROW())="", "", INDIRECT("'Student_Record 1'!E" &amp; ROW()))</f>
        <v>Mangal Jat</v>
      </c>
      <c r="D131" s="8" t="str" cm="1">
        <f t="array" aca="1" ref="D131" ca="1">IF(INDIRECT("'Student_Record 1'!G" &amp; ROW())="", "", INDIRECT("'Student_Record 1'!G" &amp; ROW()))</f>
        <v>Lalaram Jat</v>
      </c>
      <c r="E131" s="8" t="str" cm="1">
        <f t="array" aca="1" ref="E131" ca="1">IF(INDIRECT("'Student_Record 1'!I" &amp; ROW())="", "", INDIRECT("'Student_Record 1'!I" &amp; ROW()))</f>
        <v>M</v>
      </c>
      <c r="F131" s="8" t="str" cm="1">
        <f t="array" aca="1" ref="F131" ca="1">IF(INDIRECT("'Student_Record 1'!O" &amp; ROW())="", "", INDIRECT("'Student_Record 1'!O" &amp; ROW()))</f>
        <v>OBC</v>
      </c>
      <c r="G131" s="11"/>
      <c r="I131" s="11"/>
      <c r="J131" s="11"/>
      <c r="K131" s="11"/>
      <c r="L131" s="11"/>
      <c r="M131" s="11"/>
      <c r="N131" s="11"/>
      <c r="O131" s="11"/>
      <c r="P131" s="11"/>
      <c r="Q131" s="11"/>
    </row>
    <row r="132" spans="1:17" x14ac:dyDescent="0.25">
      <c r="A132" s="8" cm="1">
        <f t="array" aca="1" ref="A132" ca="1">IF(INDIRECT("'Student_Record 1'!A" &amp; ROW())="", "", INDIRECT("'Student_Record 1'!A" &amp; ROW()))</f>
        <v>6</v>
      </c>
      <c r="B132" s="8" cm="1">
        <f t="array" aca="1" ref="B132" ca="1">IF(INDIRECT("'Student_Record 1'!C" &amp; ROW())="", "", INDIRECT("'Student_Record 1'!C" &amp; ROW()))</f>
        <v>598</v>
      </c>
      <c r="C132" s="8" t="str" cm="1">
        <f t="array" aca="1" ref="C132" ca="1">IF(INDIRECT("'Student_Record 1'!E" &amp; ROW())="", "", INDIRECT("'Student_Record 1'!E" &amp; ROW()))</f>
        <v>Manisha</v>
      </c>
      <c r="D132" s="8" t="str" cm="1">
        <f t="array" aca="1" ref="D132" ca="1">IF(INDIRECT("'Student_Record 1'!G" &amp; ROW())="", "", INDIRECT("'Student_Record 1'!G" &amp; ROW()))</f>
        <v>Shankar Lal</v>
      </c>
      <c r="E132" s="8" t="str" cm="1">
        <f t="array" aca="1" ref="E132" ca="1">IF(INDIRECT("'Student_Record 1'!I" &amp; ROW())="", "", INDIRECT("'Student_Record 1'!I" &amp; ROW()))</f>
        <v>F</v>
      </c>
      <c r="F132" s="8" t="str" cm="1">
        <f t="array" aca="1" ref="F132" ca="1">IF(INDIRECT("'Student_Record 1'!O" &amp; ROW())="", "", INDIRECT("'Student_Record 1'!O" &amp; ROW()))</f>
        <v>OBC</v>
      </c>
      <c r="G132" s="11"/>
      <c r="I132" s="11"/>
      <c r="J132" s="11"/>
      <c r="K132" s="11"/>
      <c r="L132" s="11"/>
      <c r="M132" s="11"/>
      <c r="N132" s="11"/>
      <c r="O132" s="11"/>
      <c r="P132" s="11"/>
      <c r="Q132" s="11"/>
    </row>
    <row r="133" spans="1:17" x14ac:dyDescent="0.25">
      <c r="A133" s="8" cm="1">
        <f t="array" aca="1" ref="A133" ca="1">IF(INDIRECT("'Student_Record 1'!A" &amp; ROW())="", "", INDIRECT("'Student_Record 1'!A" &amp; ROW()))</f>
        <v>6</v>
      </c>
      <c r="B133" s="8" cm="1">
        <f t="array" aca="1" ref="B133" ca="1">IF(INDIRECT("'Student_Record 1'!C" &amp; ROW())="", "", INDIRECT("'Student_Record 1'!C" &amp; ROW()))</f>
        <v>889</v>
      </c>
      <c r="C133" s="8" t="str" cm="1">
        <f t="array" aca="1" ref="C133" ca="1">IF(INDIRECT("'Student_Record 1'!E" &amp; ROW())="", "", INDIRECT("'Student_Record 1'!E" &amp; ROW()))</f>
        <v>Manisha Devi Meghwanshi</v>
      </c>
      <c r="D133" s="8" t="str" cm="1">
        <f t="array" aca="1" ref="D133" ca="1">IF(INDIRECT("'Student_Record 1'!G" &amp; ROW())="", "", INDIRECT("'Student_Record 1'!G" &amp; ROW()))</f>
        <v>Rajendra Meghwanshi</v>
      </c>
      <c r="E133" s="8" t="str" cm="1">
        <f t="array" aca="1" ref="E133" ca="1">IF(INDIRECT("'Student_Record 1'!I" &amp; ROW())="", "", INDIRECT("'Student_Record 1'!I" &amp; ROW()))</f>
        <v>F</v>
      </c>
      <c r="F133" s="8" t="str" cm="1">
        <f t="array" aca="1" ref="F133" ca="1">IF(INDIRECT("'Student_Record 1'!O" &amp; ROW())="", "", INDIRECT("'Student_Record 1'!O" &amp; ROW()))</f>
        <v>SC</v>
      </c>
      <c r="G133" s="11"/>
      <c r="I133" s="11"/>
      <c r="J133" s="11"/>
      <c r="K133" s="11"/>
      <c r="L133" s="11"/>
      <c r="M133" s="11"/>
      <c r="N133" s="11"/>
      <c r="O133" s="11"/>
      <c r="P133" s="11"/>
      <c r="Q133" s="11"/>
    </row>
    <row r="134" spans="1:17" x14ac:dyDescent="0.25">
      <c r="A134" s="8" cm="1">
        <f t="array" aca="1" ref="A134" ca="1">IF(INDIRECT("'Student_Record 1'!A" &amp; ROW())="", "", INDIRECT("'Student_Record 1'!A" &amp; ROW()))</f>
        <v>6</v>
      </c>
      <c r="B134" s="8" cm="1">
        <f t="array" aca="1" ref="B134" ca="1">IF(INDIRECT("'Student_Record 1'!C" &amp; ROW())="", "", INDIRECT("'Student_Record 1'!C" &amp; ROW()))</f>
        <v>547</v>
      </c>
      <c r="C134" s="8" t="str" cm="1">
        <f t="array" aca="1" ref="C134" ca="1">IF(INDIRECT("'Student_Record 1'!E" &amp; ROW())="", "", INDIRECT("'Student_Record 1'!E" &amp; ROW()))</f>
        <v>MANSA KUMHAR</v>
      </c>
      <c r="D134" s="8" t="str" cm="1">
        <f t="array" aca="1" ref="D134" ca="1">IF(INDIRECT("'Student_Record 1'!G" &amp; ROW())="", "", INDIRECT("'Student_Record 1'!G" &amp; ROW()))</f>
        <v>SANWARA KUMHAR</v>
      </c>
      <c r="E134" s="8" t="str" cm="1">
        <f t="array" aca="1" ref="E134" ca="1">IF(INDIRECT("'Student_Record 1'!I" &amp; ROW())="", "", INDIRECT("'Student_Record 1'!I" &amp; ROW()))</f>
        <v>F</v>
      </c>
      <c r="F134" s="8" t="str" cm="1">
        <f t="array" aca="1" ref="F134" ca="1">IF(INDIRECT("'Student_Record 1'!O" &amp; ROW())="", "", INDIRECT("'Student_Record 1'!O" &amp; ROW()))</f>
        <v>OBC</v>
      </c>
      <c r="G134" s="11"/>
      <c r="I134" s="11"/>
      <c r="J134" s="11"/>
      <c r="K134" s="11"/>
      <c r="L134" s="11"/>
      <c r="M134" s="11"/>
      <c r="N134" s="11"/>
      <c r="O134" s="11"/>
      <c r="P134" s="11"/>
      <c r="Q134" s="11"/>
    </row>
    <row r="135" spans="1:17" x14ac:dyDescent="0.25">
      <c r="A135" s="8" cm="1">
        <f t="array" aca="1" ref="A135" ca="1">IF(INDIRECT("'Student_Record 1'!A" &amp; ROW())="", "", INDIRECT("'Student_Record 1'!A" &amp; ROW()))</f>
        <v>6</v>
      </c>
      <c r="B135" s="8" cm="1">
        <f t="array" aca="1" ref="B135" ca="1">IF(INDIRECT("'Student_Record 1'!C" &amp; ROW())="", "", INDIRECT("'Student_Record 1'!C" &amp; ROW()))</f>
        <v>551</v>
      </c>
      <c r="C135" s="8" t="str" cm="1">
        <f t="array" aca="1" ref="C135" ca="1">IF(INDIRECT("'Student_Record 1'!E" &amp; ROW())="", "", INDIRECT("'Student_Record 1'!E" &amp; ROW()))</f>
        <v>MANSA KUMHAR</v>
      </c>
      <c r="D135" s="8" t="str" cm="1">
        <f t="array" aca="1" ref="D135" ca="1">IF(INDIRECT("'Student_Record 1'!G" &amp; ROW())="", "", INDIRECT("'Student_Record 1'!G" &amp; ROW()))</f>
        <v>MAHAVEER KUMHAR</v>
      </c>
      <c r="E135" s="8" t="str" cm="1">
        <f t="array" aca="1" ref="E135" ca="1">IF(INDIRECT("'Student_Record 1'!I" &amp; ROW())="", "", INDIRECT("'Student_Record 1'!I" &amp; ROW()))</f>
        <v>F</v>
      </c>
      <c r="F135" s="8" t="str" cm="1">
        <f t="array" aca="1" ref="F135" ca="1">IF(INDIRECT("'Student_Record 1'!O" &amp; ROW())="", "", INDIRECT("'Student_Record 1'!O" &amp; ROW()))</f>
        <v>OBC</v>
      </c>
      <c r="G135" s="11"/>
      <c r="I135" s="11"/>
      <c r="J135" s="11"/>
      <c r="K135" s="11"/>
      <c r="L135" s="11"/>
      <c r="M135" s="11"/>
      <c r="N135" s="11"/>
      <c r="O135" s="11"/>
      <c r="P135" s="11"/>
      <c r="Q135" s="11"/>
    </row>
    <row r="136" spans="1:17" x14ac:dyDescent="0.25">
      <c r="A136" s="8" cm="1">
        <f t="array" aca="1" ref="A136" ca="1">IF(INDIRECT("'Student_Record 1'!A" &amp; ROW())="", "", INDIRECT("'Student_Record 1'!A" &amp; ROW()))</f>
        <v>6</v>
      </c>
      <c r="B136" s="8" cm="1">
        <f t="array" aca="1" ref="B136" ca="1">IF(INDIRECT("'Student_Record 1'!C" &amp; ROW())="", "", INDIRECT("'Student_Record 1'!C" &amp; ROW()))</f>
        <v>900</v>
      </c>
      <c r="C136" s="8" t="str" cm="1">
        <f t="array" aca="1" ref="C136" ca="1">IF(INDIRECT("'Student_Record 1'!E" &amp; ROW())="", "", INDIRECT("'Student_Record 1'!E" &amp; ROW()))</f>
        <v>Mohammad Ikbal</v>
      </c>
      <c r="D136" s="8" t="str" cm="1">
        <f t="array" aca="1" ref="D136" ca="1">IF(INDIRECT("'Student_Record 1'!G" &amp; ROW())="", "", INDIRECT("'Student_Record 1'!G" &amp; ROW()))</f>
        <v>Chhotu</v>
      </c>
      <c r="E136" s="8" t="str" cm="1">
        <f t="array" aca="1" ref="E136" ca="1">IF(INDIRECT("'Student_Record 1'!I" &amp; ROW())="", "", INDIRECT("'Student_Record 1'!I" &amp; ROW()))</f>
        <v>M</v>
      </c>
      <c r="F136" s="8" t="str" cm="1">
        <f t="array" aca="1" ref="F136" ca="1">IF(INDIRECT("'Student_Record 1'!O" &amp; ROW())="", "", INDIRECT("'Student_Record 1'!O" &amp; ROW()))</f>
        <v>OBC</v>
      </c>
      <c r="G136" s="11"/>
      <c r="I136" s="11"/>
      <c r="J136" s="11"/>
      <c r="K136" s="11"/>
      <c r="L136" s="11"/>
      <c r="M136" s="11"/>
      <c r="N136" s="11"/>
      <c r="O136" s="11"/>
      <c r="P136" s="11"/>
      <c r="Q136" s="11"/>
    </row>
    <row r="137" spans="1:17" x14ac:dyDescent="0.25">
      <c r="A137" s="8" cm="1">
        <f t="array" aca="1" ref="A137" ca="1">IF(INDIRECT("'Student_Record 1'!A" &amp; ROW())="", "", INDIRECT("'Student_Record 1'!A" &amp; ROW()))</f>
        <v>6</v>
      </c>
      <c r="B137" s="8" cm="1">
        <f t="array" aca="1" ref="B137" ca="1">IF(INDIRECT("'Student_Record 1'!C" &amp; ROW())="", "", INDIRECT("'Student_Record 1'!C" &amp; ROW()))</f>
        <v>572</v>
      </c>
      <c r="C137" s="8" t="str" cm="1">
        <f t="array" aca="1" ref="C137" ca="1">IF(INDIRECT("'Student_Record 1'!E" &amp; ROW())="", "", INDIRECT("'Student_Record 1'!E" &amp; ROW()))</f>
        <v>MOHIT JAT</v>
      </c>
      <c r="D137" s="8" t="str" cm="1">
        <f t="array" aca="1" ref="D137" ca="1">IF(INDIRECT("'Student_Record 1'!G" &amp; ROW())="", "", INDIRECT("'Student_Record 1'!G" &amp; ROW()))</f>
        <v>PRADHAN JAT</v>
      </c>
      <c r="E137" s="8" t="str" cm="1">
        <f t="array" aca="1" ref="E137" ca="1">IF(INDIRECT("'Student_Record 1'!I" &amp; ROW())="", "", INDIRECT("'Student_Record 1'!I" &amp; ROW()))</f>
        <v>M</v>
      </c>
      <c r="F137" s="8" t="str" cm="1">
        <f t="array" aca="1" ref="F137" ca="1">IF(INDIRECT("'Student_Record 1'!O" &amp; ROW())="", "", INDIRECT("'Student_Record 1'!O" &amp; ROW()))</f>
        <v>OBC</v>
      </c>
      <c r="G137" s="11"/>
      <c r="I137" s="11"/>
      <c r="J137" s="11"/>
      <c r="K137" s="11"/>
      <c r="L137" s="11"/>
      <c r="M137" s="11"/>
      <c r="N137" s="11"/>
      <c r="O137" s="11"/>
      <c r="P137" s="11"/>
      <c r="Q137" s="11"/>
    </row>
    <row r="138" spans="1:17" x14ac:dyDescent="0.25">
      <c r="A138" s="8" cm="1">
        <f t="array" aca="1" ref="A138" ca="1">IF(INDIRECT("'Student_Record 1'!A" &amp; ROW())="", "", INDIRECT("'Student_Record 1'!A" &amp; ROW()))</f>
        <v>6</v>
      </c>
      <c r="B138" s="8" cm="1">
        <f t="array" aca="1" ref="B138" ca="1">IF(INDIRECT("'Student_Record 1'!C" &amp; ROW())="", "", INDIRECT("'Student_Record 1'!C" &amp; ROW()))</f>
        <v>467</v>
      </c>
      <c r="C138" s="8" t="str" cm="1">
        <f t="array" aca="1" ref="C138" ca="1">IF(INDIRECT("'Student_Record 1'!E" &amp; ROW())="", "", INDIRECT("'Student_Record 1'!E" &amp; ROW()))</f>
        <v>MOHIT MEGHWANSHI</v>
      </c>
      <c r="D138" s="8" t="str" cm="1">
        <f t="array" aca="1" ref="D138" ca="1">IF(INDIRECT("'Student_Record 1'!G" &amp; ROW())="", "", INDIRECT("'Student_Record 1'!G" &amp; ROW()))</f>
        <v>HANUMAN MEGHWANSHI</v>
      </c>
      <c r="E138" s="8" t="str" cm="1">
        <f t="array" aca="1" ref="E138" ca="1">IF(INDIRECT("'Student_Record 1'!I" &amp; ROW())="", "", INDIRECT("'Student_Record 1'!I" &amp; ROW()))</f>
        <v>M</v>
      </c>
      <c r="F138" s="8" t="str" cm="1">
        <f t="array" aca="1" ref="F138" ca="1">IF(INDIRECT("'Student_Record 1'!O" &amp; ROW())="", "", INDIRECT("'Student_Record 1'!O" &amp; ROW()))</f>
        <v>SC</v>
      </c>
      <c r="G138" s="11"/>
      <c r="I138" s="11"/>
      <c r="J138" s="11"/>
      <c r="K138" s="11"/>
      <c r="L138" s="11"/>
      <c r="M138" s="11"/>
      <c r="N138" s="11"/>
      <c r="O138" s="11"/>
      <c r="P138" s="11"/>
      <c r="Q138" s="11"/>
    </row>
    <row r="139" spans="1:17" x14ac:dyDescent="0.25">
      <c r="A139" s="8" cm="1">
        <f t="array" aca="1" ref="A139" ca="1">IF(INDIRECT("'Student_Record 1'!A" &amp; ROW())="", "", INDIRECT("'Student_Record 1'!A" &amp; ROW()))</f>
        <v>6</v>
      </c>
      <c r="B139" s="8" cm="1">
        <f t="array" aca="1" ref="B139" ca="1">IF(INDIRECT("'Student_Record 1'!C" &amp; ROW())="", "", INDIRECT("'Student_Record 1'!C" &amp; ROW()))</f>
        <v>541</v>
      </c>
      <c r="C139" s="8" t="str" cm="1">
        <f t="array" aca="1" ref="C139" ca="1">IF(INDIRECT("'Student_Record 1'!E" &amp; ROW())="", "", INDIRECT("'Student_Record 1'!E" &amp; ROW()))</f>
        <v>MONIKA CHOUDHARY</v>
      </c>
      <c r="D139" s="8" t="str" cm="1">
        <f t="array" aca="1" ref="D139" ca="1">IF(INDIRECT("'Student_Record 1'!G" &amp; ROW())="", "", INDIRECT("'Student_Record 1'!G" &amp; ROW()))</f>
        <v>MANGILAL CHOUDHARY</v>
      </c>
      <c r="E139" s="8" t="str" cm="1">
        <f t="array" aca="1" ref="E139" ca="1">IF(INDIRECT("'Student_Record 1'!I" &amp; ROW())="", "", INDIRECT("'Student_Record 1'!I" &amp; ROW()))</f>
        <v>F</v>
      </c>
      <c r="F139" s="8" t="str" cm="1">
        <f t="array" aca="1" ref="F139" ca="1">IF(INDIRECT("'Student_Record 1'!O" &amp; ROW())="", "", INDIRECT("'Student_Record 1'!O" &amp; ROW()))</f>
        <v>OBC</v>
      </c>
      <c r="G139" s="11"/>
      <c r="I139" s="11"/>
      <c r="J139" s="11"/>
      <c r="K139" s="11"/>
      <c r="L139" s="11"/>
      <c r="M139" s="11"/>
      <c r="N139" s="11"/>
      <c r="O139" s="11"/>
      <c r="P139" s="11"/>
      <c r="Q139" s="11"/>
    </row>
    <row r="140" spans="1:17" x14ac:dyDescent="0.25">
      <c r="A140" s="8" cm="1">
        <f t="array" aca="1" ref="A140" ca="1">IF(INDIRECT("'Student_Record 1'!A" &amp; ROW())="", "", INDIRECT("'Student_Record 1'!A" &amp; ROW()))</f>
        <v>6</v>
      </c>
      <c r="B140" s="8" cm="1">
        <f t="array" aca="1" ref="B140" ca="1">IF(INDIRECT("'Student_Record 1'!C" &amp; ROW())="", "", INDIRECT("'Student_Record 1'!C" &amp; ROW()))</f>
        <v>573</v>
      </c>
      <c r="C140" s="8" t="str" cm="1">
        <f t="array" aca="1" ref="C140" ca="1">IF(INDIRECT("'Student_Record 1'!E" &amp; ROW())="", "", INDIRECT("'Student_Record 1'!E" &amp; ROW()))</f>
        <v>NARENDRA JAT</v>
      </c>
      <c r="D140" s="8" t="str" cm="1">
        <f t="array" aca="1" ref="D140" ca="1">IF(INDIRECT("'Student_Record 1'!G" &amp; ROW())="", "", INDIRECT("'Student_Record 1'!G" &amp; ROW()))</f>
        <v>KAILASH JAT</v>
      </c>
      <c r="E140" s="8" t="str" cm="1">
        <f t="array" aca="1" ref="E140" ca="1">IF(INDIRECT("'Student_Record 1'!I" &amp; ROW())="", "", INDIRECT("'Student_Record 1'!I" &amp; ROW()))</f>
        <v>M</v>
      </c>
      <c r="F140" s="8" t="str" cm="1">
        <f t="array" aca="1" ref="F140" ca="1">IF(INDIRECT("'Student_Record 1'!O" &amp; ROW())="", "", INDIRECT("'Student_Record 1'!O" &amp; ROW()))</f>
        <v>OBC</v>
      </c>
      <c r="G140" s="11"/>
      <c r="I140" s="11"/>
      <c r="J140" s="11"/>
      <c r="K140" s="11"/>
      <c r="L140" s="11"/>
      <c r="M140" s="11"/>
      <c r="N140" s="11"/>
      <c r="O140" s="11"/>
      <c r="P140" s="11"/>
      <c r="Q140" s="11"/>
    </row>
    <row r="141" spans="1:17" x14ac:dyDescent="0.25">
      <c r="A141" s="8" cm="1">
        <f t="array" aca="1" ref="A141" ca="1">IF(INDIRECT("'Student_Record 1'!A" &amp; ROW())="", "", INDIRECT("'Student_Record 1'!A" &amp; ROW()))</f>
        <v>6</v>
      </c>
      <c r="B141" s="8" cm="1">
        <f t="array" aca="1" ref="B141" ca="1">IF(INDIRECT("'Student_Record 1'!C" &amp; ROW())="", "", INDIRECT("'Student_Record 1'!C" &amp; ROW()))</f>
        <v>919</v>
      </c>
      <c r="C141" s="8" t="str" cm="1">
        <f t="array" aca="1" ref="C141" ca="1">IF(INDIRECT("'Student_Record 1'!E" &amp; ROW())="", "", INDIRECT("'Student_Record 1'!E" &amp; ROW()))</f>
        <v>Neela Devi Bheel</v>
      </c>
      <c r="D141" s="8" t="str" cm="1">
        <f t="array" aca="1" ref="D141" ca="1">IF(INDIRECT("'Student_Record 1'!G" &amp; ROW())="", "", INDIRECT("'Student_Record 1'!G" &amp; ROW()))</f>
        <v>Raju Bheel</v>
      </c>
      <c r="E141" s="8" t="str" cm="1">
        <f t="array" aca="1" ref="E141" ca="1">IF(INDIRECT("'Student_Record 1'!I" &amp; ROW())="", "", INDIRECT("'Student_Record 1'!I" &amp; ROW()))</f>
        <v>F</v>
      </c>
      <c r="F141" s="8" t="str" cm="1">
        <f t="array" aca="1" ref="F141" ca="1">IF(INDIRECT("'Student_Record 1'!O" &amp; ROW())="", "", INDIRECT("'Student_Record 1'!O" &amp; ROW()))</f>
        <v>ST</v>
      </c>
      <c r="G141" s="11"/>
      <c r="I141" s="11"/>
      <c r="J141" s="11"/>
      <c r="K141" s="11"/>
      <c r="L141" s="11"/>
      <c r="M141" s="11"/>
      <c r="N141" s="11"/>
      <c r="O141" s="11"/>
      <c r="P141" s="11"/>
      <c r="Q141" s="11"/>
    </row>
    <row r="142" spans="1:17" x14ac:dyDescent="0.25">
      <c r="A142" s="8" cm="1">
        <f t="array" aca="1" ref="A142" ca="1">IF(INDIRECT("'Student_Record 1'!A" &amp; ROW())="", "", INDIRECT("'Student_Record 1'!A" &amp; ROW()))</f>
        <v>6</v>
      </c>
      <c r="B142" s="8" cm="1">
        <f t="array" aca="1" ref="B142" ca="1">IF(INDIRECT("'Student_Record 1'!C" &amp; ROW())="", "", INDIRECT("'Student_Record 1'!C" &amp; ROW()))</f>
        <v>558</v>
      </c>
      <c r="C142" s="8" t="str" cm="1">
        <f t="array" aca="1" ref="C142" ca="1">IF(INDIRECT("'Student_Record 1'!E" &amp; ROW())="", "", INDIRECT("'Student_Record 1'!E" &amp; ROW()))</f>
        <v>OMPRAKASH KUMHAR</v>
      </c>
      <c r="D142" s="8" t="str" cm="1">
        <f t="array" aca="1" ref="D142" ca="1">IF(INDIRECT("'Student_Record 1'!G" &amp; ROW())="", "", INDIRECT("'Student_Record 1'!G" &amp; ROW()))</f>
        <v>PARBHU KUMHAR</v>
      </c>
      <c r="E142" s="8" t="str" cm="1">
        <f t="array" aca="1" ref="E142" ca="1">IF(INDIRECT("'Student_Record 1'!I" &amp; ROW())="", "", INDIRECT("'Student_Record 1'!I" &amp; ROW()))</f>
        <v>M</v>
      </c>
      <c r="F142" s="8" t="str" cm="1">
        <f t="array" aca="1" ref="F142" ca="1">IF(INDIRECT("'Student_Record 1'!O" &amp; ROW())="", "", INDIRECT("'Student_Record 1'!O" &amp; ROW()))</f>
        <v>SBC</v>
      </c>
      <c r="G142" s="11"/>
      <c r="I142" s="11"/>
      <c r="J142" s="11"/>
      <c r="K142" s="11"/>
      <c r="L142" s="11"/>
      <c r="M142" s="11"/>
      <c r="N142" s="11"/>
      <c r="O142" s="11"/>
      <c r="P142" s="11"/>
      <c r="Q142" s="11"/>
    </row>
    <row r="143" spans="1:17" x14ac:dyDescent="0.25">
      <c r="A143" s="8" cm="1">
        <f t="array" aca="1" ref="A143" ca="1">IF(INDIRECT("'Student_Record 1'!A" &amp; ROW())="", "", INDIRECT("'Student_Record 1'!A" &amp; ROW()))</f>
        <v>6</v>
      </c>
      <c r="B143" s="8" cm="1">
        <f t="array" aca="1" ref="B143" ca="1">IF(INDIRECT("'Student_Record 1'!C" &amp; ROW())="", "", INDIRECT("'Student_Record 1'!C" &amp; ROW()))</f>
        <v>669</v>
      </c>
      <c r="C143" s="8" t="str" cm="1">
        <f t="array" aca="1" ref="C143" ca="1">IF(INDIRECT("'Student_Record 1'!E" &amp; ROW())="", "", INDIRECT("'Student_Record 1'!E" &amp; ROW()))</f>
        <v>Pooja Jat</v>
      </c>
      <c r="D143" s="8" t="str" cm="1">
        <f t="array" aca="1" ref="D143" ca="1">IF(INDIRECT("'Student_Record 1'!G" &amp; ROW())="", "", INDIRECT("'Student_Record 1'!G" &amp; ROW()))</f>
        <v>Gopiram</v>
      </c>
      <c r="E143" s="8" t="str" cm="1">
        <f t="array" aca="1" ref="E143" ca="1">IF(INDIRECT("'Student_Record 1'!I" &amp; ROW())="", "", INDIRECT("'Student_Record 1'!I" &amp; ROW()))</f>
        <v>F</v>
      </c>
      <c r="F143" s="8" t="str" cm="1">
        <f t="array" aca="1" ref="F143" ca="1">IF(INDIRECT("'Student_Record 1'!O" &amp; ROW())="", "", INDIRECT("'Student_Record 1'!O" &amp; ROW()))</f>
        <v>OBC</v>
      </c>
      <c r="G143" s="11"/>
      <c r="I143" s="11"/>
      <c r="J143" s="11"/>
      <c r="K143" s="11"/>
      <c r="L143" s="11"/>
      <c r="M143" s="11"/>
      <c r="N143" s="11"/>
      <c r="O143" s="11"/>
      <c r="P143" s="11"/>
      <c r="Q143" s="11"/>
    </row>
    <row r="144" spans="1:17" x14ac:dyDescent="0.25">
      <c r="A144" s="8" cm="1">
        <f t="array" aca="1" ref="A144" ca="1">IF(INDIRECT("'Student_Record 1'!A" &amp; ROW())="", "", INDIRECT("'Student_Record 1'!A" &amp; ROW()))</f>
        <v>6</v>
      </c>
      <c r="B144" s="8" cm="1">
        <f t="array" aca="1" ref="B144" ca="1">IF(INDIRECT("'Student_Record 1'!C" &amp; ROW())="", "", INDIRECT("'Student_Record 1'!C" &amp; ROW()))</f>
        <v>540</v>
      </c>
      <c r="C144" s="8" t="str" cm="1">
        <f t="array" aca="1" ref="C144" ca="1">IF(INDIRECT("'Student_Record 1'!E" &amp; ROW())="", "", INDIRECT("'Student_Record 1'!E" &amp; ROW()))</f>
        <v>PRADEEP JAT</v>
      </c>
      <c r="D144" s="8" t="str" cm="1">
        <f t="array" aca="1" ref="D144" ca="1">IF(INDIRECT("'Student_Record 1'!G" &amp; ROW())="", "", INDIRECT("'Student_Record 1'!G" &amp; ROW()))</f>
        <v>RAJESH JAT</v>
      </c>
      <c r="E144" s="8" t="str" cm="1">
        <f t="array" aca="1" ref="E144" ca="1">IF(INDIRECT("'Student_Record 1'!I" &amp; ROW())="", "", INDIRECT("'Student_Record 1'!I" &amp; ROW()))</f>
        <v>M</v>
      </c>
      <c r="F144" s="8" t="str" cm="1">
        <f t="array" aca="1" ref="F144" ca="1">IF(INDIRECT("'Student_Record 1'!O" &amp; ROW())="", "", INDIRECT("'Student_Record 1'!O" &amp; ROW()))</f>
        <v>OBC</v>
      </c>
      <c r="G144" s="11"/>
      <c r="I144" s="11"/>
      <c r="J144" s="11"/>
      <c r="K144" s="11"/>
      <c r="L144" s="11"/>
      <c r="M144" s="11"/>
      <c r="N144" s="11"/>
      <c r="O144" s="11"/>
      <c r="P144" s="11"/>
      <c r="Q144" s="11"/>
    </row>
    <row r="145" spans="1:17" x14ac:dyDescent="0.25">
      <c r="A145" s="8" cm="1">
        <f t="array" aca="1" ref="A145" ca="1">IF(INDIRECT("'Student_Record 1'!A" &amp; ROW())="", "", INDIRECT("'Student_Record 1'!A" &amp; ROW()))</f>
        <v>6</v>
      </c>
      <c r="B145" s="8" cm="1">
        <f t="array" aca="1" ref="B145" ca="1">IF(INDIRECT("'Student_Record 1'!C" &amp; ROW())="", "", INDIRECT("'Student_Record 1'!C" &amp; ROW()))</f>
        <v>804</v>
      </c>
      <c r="C145" s="8" t="str" cm="1">
        <f t="array" aca="1" ref="C145" ca="1">IF(INDIRECT("'Student_Record 1'!E" &amp; ROW())="", "", INDIRECT("'Student_Record 1'!E" &amp; ROW()))</f>
        <v>Priya</v>
      </c>
      <c r="D145" s="8" t="str" cm="1">
        <f t="array" aca="1" ref="D145" ca="1">IF(INDIRECT("'Student_Record 1'!G" &amp; ROW())="", "", INDIRECT("'Student_Record 1'!G" &amp; ROW()))</f>
        <v>Dharmichand</v>
      </c>
      <c r="E145" s="8" t="str" cm="1">
        <f t="array" aca="1" ref="E145" ca="1">IF(INDIRECT("'Student_Record 1'!I" &amp; ROW())="", "", INDIRECT("'Student_Record 1'!I" &amp; ROW()))</f>
        <v>F</v>
      </c>
      <c r="F145" s="8" t="str" cm="1">
        <f t="array" aca="1" ref="F145" ca="1">IF(INDIRECT("'Student_Record 1'!O" &amp; ROW())="", "", INDIRECT("'Student_Record 1'!O" &amp; ROW()))</f>
        <v>OBC</v>
      </c>
      <c r="G145" s="11"/>
      <c r="I145" s="11"/>
      <c r="J145" s="11"/>
      <c r="K145" s="11"/>
      <c r="L145" s="11"/>
      <c r="M145" s="11"/>
      <c r="N145" s="11"/>
      <c r="O145" s="11"/>
      <c r="P145" s="11"/>
      <c r="Q145" s="11"/>
    </row>
    <row r="146" spans="1:17" x14ac:dyDescent="0.25">
      <c r="A146" s="8" cm="1">
        <f t="array" aca="1" ref="A146" ca="1">IF(INDIRECT("'Student_Record 1'!A" &amp; ROW())="", "", INDIRECT("'Student_Record 1'!A" &amp; ROW()))</f>
        <v>6</v>
      </c>
      <c r="B146" s="8" cm="1">
        <f t="array" aca="1" ref="B146" ca="1">IF(INDIRECT("'Student_Record 1'!C" &amp; ROW())="", "", INDIRECT("'Student_Record 1'!C" &amp; ROW()))</f>
        <v>711</v>
      </c>
      <c r="C146" s="8" t="str" cm="1">
        <f t="array" aca="1" ref="C146" ca="1">IF(INDIRECT("'Student_Record 1'!E" &amp; ROW())="", "", INDIRECT("'Student_Record 1'!E" &amp; ROW()))</f>
        <v>Priyanka Jat</v>
      </c>
      <c r="D146" s="8" t="str" cm="1">
        <f t="array" aca="1" ref="D146" ca="1">IF(INDIRECT("'Student_Record 1'!G" &amp; ROW())="", "", INDIRECT("'Student_Record 1'!G" &amp; ROW()))</f>
        <v>Omprakash</v>
      </c>
      <c r="E146" s="8" t="str" cm="1">
        <f t="array" aca="1" ref="E146" ca="1">IF(INDIRECT("'Student_Record 1'!I" &amp; ROW())="", "", INDIRECT("'Student_Record 1'!I" &amp; ROW()))</f>
        <v>F</v>
      </c>
      <c r="F146" s="8" t="str" cm="1">
        <f t="array" aca="1" ref="F146" ca="1">IF(INDIRECT("'Student_Record 1'!O" &amp; ROW())="", "", INDIRECT("'Student_Record 1'!O" &amp; ROW()))</f>
        <v>OBC</v>
      </c>
      <c r="G146" s="11"/>
      <c r="I146" s="11"/>
      <c r="J146" s="11"/>
      <c r="K146" s="11"/>
      <c r="L146" s="11"/>
      <c r="M146" s="11"/>
      <c r="N146" s="11"/>
      <c r="O146" s="11"/>
      <c r="P146" s="11"/>
      <c r="Q146" s="11"/>
    </row>
    <row r="147" spans="1:17" x14ac:dyDescent="0.25">
      <c r="A147" s="8" cm="1">
        <f t="array" aca="1" ref="A147" ca="1">IF(INDIRECT("'Student_Record 1'!A" &amp; ROW())="", "", INDIRECT("'Student_Record 1'!A" &amp; ROW()))</f>
        <v>6</v>
      </c>
      <c r="B147" s="8" cm="1">
        <f t="array" aca="1" ref="B147" ca="1">IF(INDIRECT("'Student_Record 1'!C" &amp; ROW())="", "", INDIRECT("'Student_Record 1'!C" &amp; ROW()))</f>
        <v>646</v>
      </c>
      <c r="C147" s="8" t="str" cm="1">
        <f t="array" aca="1" ref="C147" ca="1">IF(INDIRECT("'Student_Record 1'!E" &amp; ROW())="", "", INDIRECT("'Student_Record 1'!E" &amp; ROW()))</f>
        <v>Radhika</v>
      </c>
      <c r="D147" s="8" t="str" cm="1">
        <f t="array" aca="1" ref="D147" ca="1">IF(INDIRECT("'Student_Record 1'!G" &amp; ROW())="", "", INDIRECT("'Student_Record 1'!G" &amp; ROW()))</f>
        <v>Mahaveer Bhil</v>
      </c>
      <c r="E147" s="8" t="str" cm="1">
        <f t="array" aca="1" ref="E147" ca="1">IF(INDIRECT("'Student_Record 1'!I" &amp; ROW())="", "", INDIRECT("'Student_Record 1'!I" &amp; ROW()))</f>
        <v>F</v>
      </c>
      <c r="F147" s="8" t="str" cm="1">
        <f t="array" aca="1" ref="F147" ca="1">IF(INDIRECT("'Student_Record 1'!O" &amp; ROW())="", "", INDIRECT("'Student_Record 1'!O" &amp; ROW()))</f>
        <v>ST</v>
      </c>
      <c r="G147" s="11"/>
      <c r="I147" s="11"/>
      <c r="J147" s="11"/>
      <c r="K147" s="11"/>
      <c r="L147" s="11"/>
      <c r="M147" s="11"/>
      <c r="N147" s="11"/>
      <c r="O147" s="11"/>
      <c r="P147" s="11"/>
      <c r="Q147" s="11"/>
    </row>
    <row r="148" spans="1:17" x14ac:dyDescent="0.25">
      <c r="A148" s="8" cm="1">
        <f t="array" aca="1" ref="A148" ca="1">IF(INDIRECT("'Student_Record 1'!A" &amp; ROW())="", "", INDIRECT("'Student_Record 1'!A" &amp; ROW()))</f>
        <v>6</v>
      </c>
      <c r="B148" s="8" cm="1">
        <f t="array" aca="1" ref="B148" ca="1">IF(INDIRECT("'Student_Record 1'!C" &amp; ROW())="", "", INDIRECT("'Student_Record 1'!C" &amp; ROW()))</f>
        <v>460</v>
      </c>
      <c r="C148" s="8" t="str" cm="1">
        <f t="array" aca="1" ref="C148" ca="1">IF(INDIRECT("'Student_Record 1'!E" &amp; ROW())="", "", INDIRECT("'Student_Record 1'!E" &amp; ROW()))</f>
        <v>RADHIKA JAT</v>
      </c>
      <c r="D148" s="8" t="str" cm="1">
        <f t="array" aca="1" ref="D148" ca="1">IF(INDIRECT("'Student_Record 1'!G" &amp; ROW())="", "", INDIRECT("'Student_Record 1'!G" &amp; ROW()))</f>
        <v>MISHRI LAL JAT</v>
      </c>
      <c r="E148" s="8" t="str" cm="1">
        <f t="array" aca="1" ref="E148" ca="1">IF(INDIRECT("'Student_Record 1'!I" &amp; ROW())="", "", INDIRECT("'Student_Record 1'!I" &amp; ROW()))</f>
        <v>F</v>
      </c>
      <c r="F148" s="8" t="str" cm="1">
        <f t="array" aca="1" ref="F148" ca="1">IF(INDIRECT("'Student_Record 1'!O" &amp; ROW())="", "", INDIRECT("'Student_Record 1'!O" &amp; ROW()))</f>
        <v>OBC</v>
      </c>
      <c r="G148" s="11"/>
      <c r="I148" s="11"/>
      <c r="J148" s="11"/>
      <c r="K148" s="11"/>
      <c r="L148" s="11"/>
      <c r="M148" s="11"/>
      <c r="N148" s="11"/>
      <c r="O148" s="11"/>
      <c r="P148" s="11"/>
      <c r="Q148" s="11"/>
    </row>
    <row r="149" spans="1:17" x14ac:dyDescent="0.25">
      <c r="A149" s="8" cm="1">
        <f t="array" aca="1" ref="A149" ca="1">IF(INDIRECT("'Student_Record 1'!A" &amp; ROW())="", "", INDIRECT("'Student_Record 1'!A" &amp; ROW()))</f>
        <v>6</v>
      </c>
      <c r="B149" s="8" cm="1">
        <f t="array" aca="1" ref="B149" ca="1">IF(INDIRECT("'Student_Record 1'!C" &amp; ROW())="", "", INDIRECT("'Student_Record 1'!C" &amp; ROW()))</f>
        <v>886</v>
      </c>
      <c r="C149" s="8" t="str" cm="1">
        <f t="array" aca="1" ref="C149" ca="1">IF(INDIRECT("'Student_Record 1'!E" &amp; ROW())="", "", INDIRECT("'Student_Record 1'!E" &amp; ROW()))</f>
        <v>Rahul Choudhary</v>
      </c>
      <c r="D149" s="8" t="str" cm="1">
        <f t="array" aca="1" ref="D149" ca="1">IF(INDIRECT("'Student_Record 1'!G" &amp; ROW())="", "", INDIRECT("'Student_Record 1'!G" &amp; ROW()))</f>
        <v>Ramraj Choudhary</v>
      </c>
      <c r="E149" s="8" t="str" cm="1">
        <f t="array" aca="1" ref="E149" ca="1">IF(INDIRECT("'Student_Record 1'!I" &amp; ROW())="", "", INDIRECT("'Student_Record 1'!I" &amp; ROW()))</f>
        <v>M</v>
      </c>
      <c r="F149" s="8" t="str" cm="1">
        <f t="array" aca="1" ref="F149" ca="1">IF(INDIRECT("'Student_Record 1'!O" &amp; ROW())="", "", INDIRECT("'Student_Record 1'!O" &amp; ROW()))</f>
        <v>OBC</v>
      </c>
      <c r="G149" s="11"/>
      <c r="I149" s="11"/>
      <c r="J149" s="11"/>
      <c r="K149" s="11"/>
      <c r="L149" s="11"/>
      <c r="M149" s="11"/>
      <c r="N149" s="11"/>
      <c r="O149" s="11"/>
      <c r="P149" s="11"/>
      <c r="Q149" s="11"/>
    </row>
    <row r="150" spans="1:17" x14ac:dyDescent="0.25">
      <c r="A150" s="8" cm="1">
        <f t="array" aca="1" ref="A150" ca="1">IF(INDIRECT("'Student_Record 1'!A" &amp; ROW())="", "", INDIRECT("'Student_Record 1'!A" &amp; ROW()))</f>
        <v>6</v>
      </c>
      <c r="B150" s="8" cm="1">
        <f t="array" aca="1" ref="B150" ca="1">IF(INDIRECT("'Student_Record 1'!C" &amp; ROW())="", "", INDIRECT("'Student_Record 1'!C" &amp; ROW()))</f>
        <v>909</v>
      </c>
      <c r="C150" s="8" t="str" cm="1">
        <f t="array" aca="1" ref="C150" ca="1">IF(INDIRECT("'Student_Record 1'!E" &amp; ROW())="", "", INDIRECT("'Student_Record 1'!E" &amp; ROW()))</f>
        <v>Rahul Jat</v>
      </c>
      <c r="D150" s="8" t="str" cm="1">
        <f t="array" aca="1" ref="D150" ca="1">IF(INDIRECT("'Student_Record 1'!G" &amp; ROW())="", "", INDIRECT("'Student_Record 1'!G" &amp; ROW()))</f>
        <v>Prasann</v>
      </c>
      <c r="E150" s="8" t="str" cm="1">
        <f t="array" aca="1" ref="E150" ca="1">IF(INDIRECT("'Student_Record 1'!I" &amp; ROW())="", "", INDIRECT("'Student_Record 1'!I" &amp; ROW()))</f>
        <v>M</v>
      </c>
      <c r="F150" s="8" t="str" cm="1">
        <f t="array" aca="1" ref="F150" ca="1">IF(INDIRECT("'Student_Record 1'!O" &amp; ROW())="", "", INDIRECT("'Student_Record 1'!O" &amp; ROW()))</f>
        <v>OBC</v>
      </c>
      <c r="G150" s="11"/>
      <c r="I150" s="11"/>
      <c r="J150" s="11"/>
      <c r="K150" s="11"/>
      <c r="L150" s="11"/>
      <c r="M150" s="11"/>
      <c r="N150" s="11"/>
      <c r="O150" s="11"/>
      <c r="P150" s="11"/>
      <c r="Q150" s="11"/>
    </row>
    <row r="151" spans="1:17" x14ac:dyDescent="0.25">
      <c r="A151" s="8" cm="1">
        <f t="array" aca="1" ref="A151" ca="1">IF(INDIRECT("'Student_Record 1'!A" &amp; ROW())="", "", INDIRECT("'Student_Record 1'!A" &amp; ROW()))</f>
        <v>6</v>
      </c>
      <c r="B151" s="8" cm="1">
        <f t="array" aca="1" ref="B151" ca="1">IF(INDIRECT("'Student_Record 1'!C" &amp; ROW())="", "", INDIRECT("'Student_Record 1'!C" &amp; ROW()))</f>
        <v>873</v>
      </c>
      <c r="C151" s="8" t="str" cm="1">
        <f t="array" aca="1" ref="C151" ca="1">IF(INDIRECT("'Student_Record 1'!E" &amp; ROW())="", "", INDIRECT("'Student_Record 1'!E" &amp; ROW()))</f>
        <v>Ranjeet</v>
      </c>
      <c r="D151" s="8" t="str" cm="1">
        <f t="array" aca="1" ref="D151" ca="1">IF(INDIRECT("'Student_Record 1'!G" &amp; ROW())="", "", INDIRECT("'Student_Record 1'!G" &amp; ROW()))</f>
        <v>Mangal Chand Jat</v>
      </c>
      <c r="E151" s="8" t="str" cm="1">
        <f t="array" aca="1" ref="E151" ca="1">IF(INDIRECT("'Student_Record 1'!I" &amp; ROW())="", "", INDIRECT("'Student_Record 1'!I" &amp; ROW()))</f>
        <v>M</v>
      </c>
      <c r="F151" s="8" t="str" cm="1">
        <f t="array" aca="1" ref="F151" ca="1">IF(INDIRECT("'Student_Record 1'!O" &amp; ROW())="", "", INDIRECT("'Student_Record 1'!O" &amp; ROW()))</f>
        <v>OBC</v>
      </c>
      <c r="G151" s="11"/>
      <c r="I151" s="11"/>
      <c r="J151" s="11"/>
      <c r="K151" s="11"/>
      <c r="L151" s="11"/>
      <c r="M151" s="11"/>
      <c r="N151" s="11"/>
      <c r="O151" s="11"/>
      <c r="P151" s="11"/>
      <c r="Q151" s="11"/>
    </row>
    <row r="152" spans="1:17" x14ac:dyDescent="0.25">
      <c r="A152" s="8" cm="1">
        <f t="array" aca="1" ref="A152" ca="1">IF(INDIRECT("'Student_Record 1'!A" &amp; ROW())="", "", INDIRECT("'Student_Record 1'!A" &amp; ROW()))</f>
        <v>6</v>
      </c>
      <c r="B152" s="8" cm="1">
        <f t="array" aca="1" ref="B152" ca="1">IF(INDIRECT("'Student_Record 1'!C" &amp; ROW())="", "", INDIRECT("'Student_Record 1'!C" &amp; ROW()))</f>
        <v>701</v>
      </c>
      <c r="C152" s="8" t="str" cm="1">
        <f t="array" aca="1" ref="C152" ca="1">IF(INDIRECT("'Student_Record 1'!E" &amp; ROW())="", "", INDIRECT("'Student_Record 1'!E" &amp; ROW()))</f>
        <v>RITIKA CHOUDHARY</v>
      </c>
      <c r="D152" s="8" t="str" cm="1">
        <f t="array" aca="1" ref="D152" ca="1">IF(INDIRECT("'Student_Record 1'!G" &amp; ROW())="", "", INDIRECT("'Student_Record 1'!G" &amp; ROW()))</f>
        <v>Hansraj Choudhary</v>
      </c>
      <c r="E152" s="8" t="str" cm="1">
        <f t="array" aca="1" ref="E152" ca="1">IF(INDIRECT("'Student_Record 1'!I" &amp; ROW())="", "", INDIRECT("'Student_Record 1'!I" &amp; ROW()))</f>
        <v>F</v>
      </c>
      <c r="F152" s="8" t="str" cm="1">
        <f t="array" aca="1" ref="F152" ca="1">IF(INDIRECT("'Student_Record 1'!O" &amp; ROW())="", "", INDIRECT("'Student_Record 1'!O" &amp; ROW()))</f>
        <v>OBC</v>
      </c>
      <c r="G152" s="11"/>
      <c r="I152" s="11"/>
      <c r="J152" s="11"/>
      <c r="K152" s="11"/>
      <c r="L152" s="11"/>
      <c r="M152" s="11"/>
      <c r="N152" s="11"/>
      <c r="O152" s="11"/>
      <c r="P152" s="11"/>
      <c r="Q152" s="11"/>
    </row>
    <row r="153" spans="1:17" x14ac:dyDescent="0.25">
      <c r="A153" s="8" cm="1">
        <f t="array" aca="1" ref="A153" ca="1">IF(INDIRECT("'Student_Record 1'!A" &amp; ROW())="", "", INDIRECT("'Student_Record 1'!A" &amp; ROW()))</f>
        <v>6</v>
      </c>
      <c r="B153" s="8" cm="1">
        <f t="array" aca="1" ref="B153" ca="1">IF(INDIRECT("'Student_Record 1'!C" &amp; ROW())="", "", INDIRECT("'Student_Record 1'!C" &amp; ROW()))</f>
        <v>664</v>
      </c>
      <c r="C153" s="8" t="str" cm="1">
        <f t="array" aca="1" ref="C153" ca="1">IF(INDIRECT("'Student_Record 1'!E" &amp; ROW())="", "", INDIRECT("'Student_Record 1'!E" &amp; ROW()))</f>
        <v>Ritika Gurjar</v>
      </c>
      <c r="D153" s="8" t="str" cm="1">
        <f t="array" aca="1" ref="D153" ca="1">IF(INDIRECT("'Student_Record 1'!G" &amp; ROW())="", "", INDIRECT("'Student_Record 1'!G" &amp; ROW()))</f>
        <v>Mangal Chand Gurjar</v>
      </c>
      <c r="E153" s="8" t="str" cm="1">
        <f t="array" aca="1" ref="E153" ca="1">IF(INDIRECT("'Student_Record 1'!I" &amp; ROW())="", "", INDIRECT("'Student_Record 1'!I" &amp; ROW()))</f>
        <v>F</v>
      </c>
      <c r="F153" s="8" t="str" cm="1">
        <f t="array" aca="1" ref="F153" ca="1">IF(INDIRECT("'Student_Record 1'!O" &amp; ROW())="", "", INDIRECT("'Student_Record 1'!O" &amp; ROW()))</f>
        <v>SBC</v>
      </c>
      <c r="G153" s="11"/>
      <c r="I153" s="11"/>
      <c r="J153" s="11"/>
      <c r="K153" s="11"/>
      <c r="L153" s="11"/>
      <c r="M153" s="11"/>
      <c r="N153" s="11"/>
      <c r="O153" s="11"/>
      <c r="P153" s="11"/>
      <c r="Q153" s="11"/>
    </row>
    <row r="154" spans="1:17" x14ac:dyDescent="0.25">
      <c r="A154" s="8" cm="1">
        <f t="array" aca="1" ref="A154" ca="1">IF(INDIRECT("'Student_Record 1'!A" &amp; ROW())="", "", INDIRECT("'Student_Record 1'!A" &amp; ROW()))</f>
        <v>6</v>
      </c>
      <c r="B154" s="8" cm="1">
        <f t="array" aca="1" ref="B154" ca="1">IF(INDIRECT("'Student_Record 1'!C" &amp; ROW())="", "", INDIRECT("'Student_Record 1'!C" &amp; ROW()))</f>
        <v>903</v>
      </c>
      <c r="C154" s="8" t="str" cm="1">
        <f t="array" aca="1" ref="C154" ca="1">IF(INDIRECT("'Student_Record 1'!E" &amp; ROW())="", "", INDIRECT("'Student_Record 1'!E" &amp; ROW()))</f>
        <v>Salma Bano</v>
      </c>
      <c r="D154" s="8" t="str" cm="1">
        <f t="array" aca="1" ref="D154" ca="1">IF(INDIRECT("'Student_Record 1'!G" &amp; ROW())="", "", INDIRECT("'Student_Record 1'!G" &amp; ROW()))</f>
        <v>Chhotu</v>
      </c>
      <c r="E154" s="8" t="str" cm="1">
        <f t="array" aca="1" ref="E154" ca="1">IF(INDIRECT("'Student_Record 1'!I" &amp; ROW())="", "", INDIRECT("'Student_Record 1'!I" &amp; ROW()))</f>
        <v>F</v>
      </c>
      <c r="F154" s="8" t="str" cm="1">
        <f t="array" aca="1" ref="F154" ca="1">IF(INDIRECT("'Student_Record 1'!O" &amp; ROW())="", "", INDIRECT("'Student_Record 1'!O" &amp; ROW()))</f>
        <v>OBC</v>
      </c>
      <c r="G154" s="11"/>
      <c r="I154" s="11"/>
      <c r="J154" s="11"/>
      <c r="K154" s="11"/>
      <c r="L154" s="11"/>
      <c r="M154" s="11"/>
      <c r="N154" s="11"/>
      <c r="O154" s="11"/>
      <c r="P154" s="11"/>
      <c r="Q154" s="11"/>
    </row>
    <row r="155" spans="1:17" x14ac:dyDescent="0.25">
      <c r="A155" s="8" cm="1">
        <f t="array" aca="1" ref="A155" ca="1">IF(INDIRECT("'Student_Record 1'!A" &amp; ROW())="", "", INDIRECT("'Student_Record 1'!A" &amp; ROW()))</f>
        <v>6</v>
      </c>
      <c r="B155" s="8" cm="1">
        <f t="array" aca="1" ref="B155" ca="1">IF(INDIRECT("'Student_Record 1'!C" &amp; ROW())="", "", INDIRECT("'Student_Record 1'!C" &amp; ROW()))</f>
        <v>898</v>
      </c>
      <c r="C155" s="8" t="str" cm="1">
        <f t="array" aca="1" ref="C155" ca="1">IF(INDIRECT("'Student_Record 1'!E" &amp; ROW())="", "", INDIRECT("'Student_Record 1'!E" &amp; ROW()))</f>
        <v>Sannu Bheel</v>
      </c>
      <c r="D155" s="8" t="str" cm="1">
        <f t="array" aca="1" ref="D155" ca="1">IF(INDIRECT("'Student_Record 1'!G" &amp; ROW())="", "", INDIRECT("'Student_Record 1'!G" &amp; ROW()))</f>
        <v>Pappu Bheel</v>
      </c>
      <c r="E155" s="8" t="str" cm="1">
        <f t="array" aca="1" ref="E155" ca="1">IF(INDIRECT("'Student_Record 1'!I" &amp; ROW())="", "", INDIRECT("'Student_Record 1'!I" &amp; ROW()))</f>
        <v>M</v>
      </c>
      <c r="F155" s="8" t="str" cm="1">
        <f t="array" aca="1" ref="F155" ca="1">IF(INDIRECT("'Student_Record 1'!O" &amp; ROW())="", "", INDIRECT("'Student_Record 1'!O" &amp; ROW()))</f>
        <v>ST</v>
      </c>
      <c r="G155" s="11"/>
      <c r="I155" s="11"/>
      <c r="J155" s="11"/>
      <c r="K155" s="11"/>
      <c r="L155" s="11"/>
      <c r="M155" s="11"/>
      <c r="N155" s="11"/>
      <c r="O155" s="11"/>
      <c r="P155" s="11"/>
      <c r="Q155" s="11"/>
    </row>
    <row r="156" spans="1:17" x14ac:dyDescent="0.25">
      <c r="A156" s="8" cm="1">
        <f t="array" aca="1" ref="A156" ca="1">IF(INDIRECT("'Student_Record 1'!A" &amp; ROW())="", "", INDIRECT("'Student_Record 1'!A" &amp; ROW()))</f>
        <v>6</v>
      </c>
      <c r="B156" s="8" cm="1">
        <f t="array" aca="1" ref="B156" ca="1">IF(INDIRECT("'Student_Record 1'!C" &amp; ROW())="", "", INDIRECT("'Student_Record 1'!C" &amp; ROW()))</f>
        <v>456</v>
      </c>
      <c r="C156" s="8" t="str" cm="1">
        <f t="array" aca="1" ref="C156" ca="1">IF(INDIRECT("'Student_Record 1'!E" &amp; ROW())="", "", INDIRECT("'Student_Record 1'!E" &amp; ROW()))</f>
        <v>SEEMA PRAJAPAT</v>
      </c>
      <c r="D156" s="8" t="str" cm="1">
        <f t="array" aca="1" ref="D156" ca="1">IF(INDIRECT("'Student_Record 1'!G" &amp; ROW())="", "", INDIRECT("'Student_Record 1'!G" &amp; ROW()))</f>
        <v>GANESH PRAJAPAT</v>
      </c>
      <c r="E156" s="8" t="str" cm="1">
        <f t="array" aca="1" ref="E156" ca="1">IF(INDIRECT("'Student_Record 1'!I" &amp; ROW())="", "", INDIRECT("'Student_Record 1'!I" &amp; ROW()))</f>
        <v>F</v>
      </c>
      <c r="F156" s="8" t="str" cm="1">
        <f t="array" aca="1" ref="F156" ca="1">IF(INDIRECT("'Student_Record 1'!O" &amp; ROW())="", "", INDIRECT("'Student_Record 1'!O" &amp; ROW()))</f>
        <v>OBC</v>
      </c>
      <c r="G156" s="11"/>
      <c r="I156" s="11"/>
      <c r="J156" s="11"/>
      <c r="K156" s="11"/>
      <c r="L156" s="11"/>
      <c r="M156" s="11"/>
      <c r="N156" s="11"/>
      <c r="O156" s="11"/>
      <c r="P156" s="11"/>
      <c r="Q156" s="11"/>
    </row>
    <row r="157" spans="1:17" x14ac:dyDescent="0.25">
      <c r="A157" s="8" cm="1">
        <f t="array" aca="1" ref="A157" ca="1">IF(INDIRECT("'Student_Record 1'!A" &amp; ROW())="", "", INDIRECT("'Student_Record 1'!A" &amp; ROW()))</f>
        <v>6</v>
      </c>
      <c r="B157" s="8" cm="1">
        <f t="array" aca="1" ref="B157" ca="1">IF(INDIRECT("'Student_Record 1'!C" &amp; ROW())="", "", INDIRECT("'Student_Record 1'!C" &amp; ROW()))</f>
        <v>704</v>
      </c>
      <c r="C157" s="8" t="str" cm="1">
        <f t="array" aca="1" ref="C157" ca="1">IF(INDIRECT("'Student_Record 1'!E" &amp; ROW())="", "", INDIRECT("'Student_Record 1'!E" &amp; ROW()))</f>
        <v>Sonika Jat</v>
      </c>
      <c r="D157" s="8" t="str" cm="1">
        <f t="array" aca="1" ref="D157" ca="1">IF(INDIRECT("'Student_Record 1'!G" &amp; ROW())="", "", INDIRECT("'Student_Record 1'!G" &amp; ROW()))</f>
        <v>Prabhu Jat</v>
      </c>
      <c r="E157" s="8" t="str" cm="1">
        <f t="array" aca="1" ref="E157" ca="1">IF(INDIRECT("'Student_Record 1'!I" &amp; ROW())="", "", INDIRECT("'Student_Record 1'!I" &amp; ROW()))</f>
        <v>F</v>
      </c>
      <c r="F157" s="8" t="str" cm="1">
        <f t="array" aca="1" ref="F157" ca="1">IF(INDIRECT("'Student_Record 1'!O" &amp; ROW())="", "", INDIRECT("'Student_Record 1'!O" &amp; ROW()))</f>
        <v>OBC</v>
      </c>
      <c r="G157" s="11"/>
      <c r="I157" s="11"/>
      <c r="J157" s="11"/>
      <c r="K157" s="11"/>
      <c r="L157" s="11"/>
      <c r="M157" s="11"/>
      <c r="N157" s="11"/>
      <c r="O157" s="11"/>
      <c r="P157" s="11"/>
      <c r="Q157" s="11"/>
    </row>
    <row r="158" spans="1:17" x14ac:dyDescent="0.25">
      <c r="A158" s="8" cm="1">
        <f t="array" aca="1" ref="A158" ca="1">IF(INDIRECT("'Student_Record 1'!A" &amp; ROW())="", "", INDIRECT("'Student_Record 1'!A" &amp; ROW()))</f>
        <v>6</v>
      </c>
      <c r="B158" s="8" cm="1">
        <f t="array" aca="1" ref="B158" ca="1">IF(INDIRECT("'Student_Record 1'!C" &amp; ROW())="", "", INDIRECT("'Student_Record 1'!C" &amp; ROW()))</f>
        <v>887</v>
      </c>
      <c r="C158" s="8" t="str" cm="1">
        <f t="array" aca="1" ref="C158" ca="1">IF(INDIRECT("'Student_Record 1'!E" &amp; ROW())="", "", INDIRECT("'Student_Record 1'!E" &amp; ROW()))</f>
        <v>Sunil Choudhary</v>
      </c>
      <c r="D158" s="8" t="str" cm="1">
        <f t="array" aca="1" ref="D158" ca="1">IF(INDIRECT("'Student_Record 1'!G" &amp; ROW())="", "", INDIRECT("'Student_Record 1'!G" &amp; ROW()))</f>
        <v>Parmeshwar Choudhary</v>
      </c>
      <c r="E158" s="8" t="str" cm="1">
        <f t="array" aca="1" ref="E158" ca="1">IF(INDIRECT("'Student_Record 1'!I" &amp; ROW())="", "", INDIRECT("'Student_Record 1'!I" &amp; ROW()))</f>
        <v>M</v>
      </c>
      <c r="F158" s="8" t="str" cm="1">
        <f t="array" aca="1" ref="F158" ca="1">IF(INDIRECT("'Student_Record 1'!O" &amp; ROW())="", "", INDIRECT("'Student_Record 1'!O" &amp; ROW()))</f>
        <v>OBC</v>
      </c>
      <c r="G158" s="11"/>
      <c r="I158" s="11"/>
      <c r="J158" s="11"/>
      <c r="K158" s="11"/>
      <c r="L158" s="11"/>
      <c r="M158" s="11"/>
      <c r="N158" s="11"/>
      <c r="O158" s="11"/>
      <c r="P158" s="11"/>
      <c r="Q158" s="11"/>
    </row>
    <row r="159" spans="1:17" x14ac:dyDescent="0.25">
      <c r="A159" s="8" cm="1">
        <f t="array" aca="1" ref="A159" ca="1">IF(INDIRECT("'Student_Record 1'!A" &amp; ROW())="", "", INDIRECT("'Student_Record 1'!A" &amp; ROW()))</f>
        <v>6</v>
      </c>
      <c r="B159" s="8" cm="1">
        <f t="array" aca="1" ref="B159" ca="1">IF(INDIRECT("'Student_Record 1'!C" &amp; ROW())="", "", INDIRECT("'Student_Record 1'!C" &amp; ROW()))</f>
        <v>459</v>
      </c>
      <c r="C159" s="8" t="str" cm="1">
        <f t="array" aca="1" ref="C159" ca="1">IF(INDIRECT("'Student_Record 1'!E" &amp; ROW())="", "", INDIRECT("'Student_Record 1'!E" &amp; ROW()))</f>
        <v>SUNIL LUHAR</v>
      </c>
      <c r="D159" s="8" t="str" cm="1">
        <f t="array" aca="1" ref="D159" ca="1">IF(INDIRECT("'Student_Record 1'!G" &amp; ROW())="", "", INDIRECT("'Student_Record 1'!G" &amp; ROW()))</f>
        <v>RAMKARAN LUHAR</v>
      </c>
      <c r="E159" s="8" t="str" cm="1">
        <f t="array" aca="1" ref="E159" ca="1">IF(INDIRECT("'Student_Record 1'!I" &amp; ROW())="", "", INDIRECT("'Student_Record 1'!I" &amp; ROW()))</f>
        <v>M</v>
      </c>
      <c r="F159" s="8" t="str" cm="1">
        <f t="array" aca="1" ref="F159" ca="1">IF(INDIRECT("'Student_Record 1'!O" &amp; ROW())="", "", INDIRECT("'Student_Record 1'!O" &amp; ROW()))</f>
        <v>SBC</v>
      </c>
      <c r="G159" s="11"/>
      <c r="I159" s="11"/>
      <c r="J159" s="11"/>
      <c r="K159" s="11"/>
      <c r="L159" s="11"/>
      <c r="M159" s="11"/>
      <c r="N159" s="11"/>
      <c r="O159" s="11"/>
      <c r="P159" s="11"/>
      <c r="Q159" s="11"/>
    </row>
    <row r="160" spans="1:17" x14ac:dyDescent="0.25">
      <c r="A160" s="8" cm="1">
        <f t="array" aca="1" ref="A160" ca="1">IF(INDIRECT("'Student_Record 1'!A" &amp; ROW())="", "", INDIRECT("'Student_Record 1'!A" &amp; ROW()))</f>
        <v>6</v>
      </c>
      <c r="B160" s="8" cm="1">
        <f t="array" aca="1" ref="B160" ca="1">IF(INDIRECT("'Student_Record 1'!C" &amp; ROW())="", "", INDIRECT("'Student_Record 1'!C" &amp; ROW()))</f>
        <v>465</v>
      </c>
      <c r="C160" s="8" t="str" cm="1">
        <f t="array" aca="1" ref="C160" ca="1">IF(INDIRECT("'Student_Record 1'!E" &amp; ROW())="", "", INDIRECT("'Student_Record 1'!E" &amp; ROW()))</f>
        <v>SUNITA BANSALI</v>
      </c>
      <c r="D160" s="8" t="str" cm="1">
        <f t="array" aca="1" ref="D160" ca="1">IF(INDIRECT("'Student_Record 1'!G" &amp; ROW())="", "", INDIRECT("'Student_Record 1'!G" &amp; ROW()))</f>
        <v>RAMRAJ BANSALI</v>
      </c>
      <c r="E160" s="8" t="str" cm="1">
        <f t="array" aca="1" ref="E160" ca="1">IF(INDIRECT("'Student_Record 1'!I" &amp; ROW())="", "", INDIRECT("'Student_Record 1'!I" &amp; ROW()))</f>
        <v>F</v>
      </c>
      <c r="F160" s="8" t="str" cm="1">
        <f t="array" aca="1" ref="F160" ca="1">IF(INDIRECT("'Student_Record 1'!O" &amp; ROW())="", "", INDIRECT("'Student_Record 1'!O" &amp; ROW()))</f>
        <v>SC</v>
      </c>
      <c r="G160" s="11"/>
      <c r="I160" s="11"/>
      <c r="J160" s="11"/>
      <c r="K160" s="11"/>
      <c r="L160" s="11"/>
      <c r="M160" s="11"/>
      <c r="N160" s="11"/>
      <c r="O160" s="11"/>
      <c r="P160" s="11"/>
      <c r="Q160" s="11"/>
    </row>
    <row r="161" spans="1:17" x14ac:dyDescent="0.25">
      <c r="A161" s="8" cm="1">
        <f t="array" aca="1" ref="A161" ca="1">IF(INDIRECT("'Student_Record 1'!A" &amp; ROW())="", "", INDIRECT("'Student_Record 1'!A" &amp; ROW()))</f>
        <v>6</v>
      </c>
      <c r="B161" s="8" cm="1">
        <f t="array" aca="1" ref="B161" ca="1">IF(INDIRECT("'Student_Record 1'!C" &amp; ROW())="", "", INDIRECT("'Student_Record 1'!C" &amp; ROW()))</f>
        <v>464</v>
      </c>
      <c r="C161" s="8" t="str" cm="1">
        <f t="array" aca="1" ref="C161" ca="1">IF(INDIRECT("'Student_Record 1'!E" &amp; ROW())="", "", INDIRECT("'Student_Record 1'!E" &amp; ROW()))</f>
        <v>SUNITA JAT</v>
      </c>
      <c r="D161" s="8" t="str" cm="1">
        <f t="array" aca="1" ref="D161" ca="1">IF(INDIRECT("'Student_Record 1'!G" &amp; ROW())="", "", INDIRECT("'Student_Record 1'!G" &amp; ROW()))</f>
        <v>RAMNIWAS JAT</v>
      </c>
      <c r="E161" s="8" t="str" cm="1">
        <f t="array" aca="1" ref="E161" ca="1">IF(INDIRECT("'Student_Record 1'!I" &amp; ROW())="", "", INDIRECT("'Student_Record 1'!I" &amp; ROW()))</f>
        <v>F</v>
      </c>
      <c r="F161" s="8" t="str" cm="1">
        <f t="array" aca="1" ref="F161" ca="1">IF(INDIRECT("'Student_Record 1'!O" &amp; ROW())="", "", INDIRECT("'Student_Record 1'!O" &amp; ROW()))</f>
        <v>OBC</v>
      </c>
      <c r="G161" s="11"/>
      <c r="I161" s="11"/>
      <c r="J161" s="11"/>
      <c r="K161" s="11"/>
      <c r="L161" s="11"/>
      <c r="M161" s="11"/>
      <c r="N161" s="11"/>
      <c r="O161" s="11"/>
      <c r="P161" s="11"/>
      <c r="Q161" s="11"/>
    </row>
    <row r="162" spans="1:17" x14ac:dyDescent="0.25">
      <c r="A162" s="8" cm="1">
        <f t="array" aca="1" ref="A162" ca="1">IF(INDIRECT("'Student_Record 1'!A" &amp; ROW())="", "", INDIRECT("'Student_Record 1'!A" &amp; ROW()))</f>
        <v>6</v>
      </c>
      <c r="B162" s="8" cm="1">
        <f t="array" aca="1" ref="B162" ca="1">IF(INDIRECT("'Student_Record 1'!C" &amp; ROW())="", "", INDIRECT("'Student_Record 1'!C" &amp; ROW()))</f>
        <v>534</v>
      </c>
      <c r="C162" s="8" t="str" cm="1">
        <f t="array" aca="1" ref="C162" ca="1">IF(INDIRECT("'Student_Record 1'!E" &amp; ROW())="", "", INDIRECT("'Student_Record 1'!E" &amp; ROW()))</f>
        <v>SUNITA PRAJAPAT</v>
      </c>
      <c r="D162" s="8" t="str" cm="1">
        <f t="array" aca="1" ref="D162" ca="1">IF(INDIRECT("'Student_Record 1'!G" &amp; ROW())="", "", INDIRECT("'Student_Record 1'!G" &amp; ROW()))</f>
        <v>PRAKASH PRAJAPAT</v>
      </c>
      <c r="E162" s="8" t="str" cm="1">
        <f t="array" aca="1" ref="E162" ca="1">IF(INDIRECT("'Student_Record 1'!I" &amp; ROW())="", "", INDIRECT("'Student_Record 1'!I" &amp; ROW()))</f>
        <v>F</v>
      </c>
      <c r="F162" s="8" t="str" cm="1">
        <f t="array" aca="1" ref="F162" ca="1">IF(INDIRECT("'Student_Record 1'!O" &amp; ROW())="", "", INDIRECT("'Student_Record 1'!O" &amp; ROW()))</f>
        <v>OBC</v>
      </c>
      <c r="G162" s="11"/>
      <c r="I162" s="11"/>
      <c r="J162" s="11"/>
      <c r="K162" s="11"/>
      <c r="L162" s="11"/>
      <c r="M162" s="11"/>
      <c r="N162" s="11"/>
      <c r="O162" s="11"/>
      <c r="P162" s="11"/>
      <c r="Q162" s="11"/>
    </row>
    <row r="163" spans="1:17" x14ac:dyDescent="0.25">
      <c r="A163" s="8" cm="1">
        <f t="array" aca="1" ref="A163" ca="1">IF(INDIRECT("'Student_Record 1'!A" &amp; ROW())="", "", INDIRECT("'Student_Record 1'!A" &amp; ROW()))</f>
        <v>6</v>
      </c>
      <c r="B163" s="8" cm="1">
        <f t="array" aca="1" ref="B163" ca="1">IF(INDIRECT("'Student_Record 1'!C" &amp; ROW())="", "", INDIRECT("'Student_Record 1'!C" &amp; ROW()))</f>
        <v>642</v>
      </c>
      <c r="C163" s="8" t="str" cm="1">
        <f t="array" aca="1" ref="C163" ca="1">IF(INDIRECT("'Student_Record 1'!E" &amp; ROW())="", "", INDIRECT("'Student_Record 1'!E" &amp; ROW()))</f>
        <v>Suraj Prajapat</v>
      </c>
      <c r="D163" s="8" t="str" cm="1">
        <f t="array" aca="1" ref="D163" ca="1">IF(INDIRECT("'Student_Record 1'!G" &amp; ROW())="", "", INDIRECT("'Student_Record 1'!G" &amp; ROW()))</f>
        <v>Ram Singh Prajapat</v>
      </c>
      <c r="E163" s="8" t="str" cm="1">
        <f t="array" aca="1" ref="E163" ca="1">IF(INDIRECT("'Student_Record 1'!I" &amp; ROW())="", "", INDIRECT("'Student_Record 1'!I" &amp; ROW()))</f>
        <v>M</v>
      </c>
      <c r="F163" s="8" t="str" cm="1">
        <f t="array" aca="1" ref="F163" ca="1">IF(INDIRECT("'Student_Record 1'!O" &amp; ROW())="", "", INDIRECT("'Student_Record 1'!O" &amp; ROW()))</f>
        <v>OBC</v>
      </c>
      <c r="G163" s="11"/>
      <c r="I163" s="11"/>
      <c r="J163" s="11"/>
      <c r="K163" s="11"/>
      <c r="L163" s="11"/>
      <c r="M163" s="11"/>
      <c r="N163" s="11"/>
      <c r="O163" s="11"/>
      <c r="P163" s="11"/>
      <c r="Q163" s="11"/>
    </row>
    <row r="164" spans="1:17" x14ac:dyDescent="0.25">
      <c r="A164" s="8" cm="1">
        <f t="array" aca="1" ref="A164" ca="1">IF(INDIRECT("'Student_Record 1'!A" &amp; ROW())="", "", INDIRECT("'Student_Record 1'!A" &amp; ROW()))</f>
        <v>6</v>
      </c>
      <c r="B164" s="8" cm="1">
        <f t="array" aca="1" ref="B164" ca="1">IF(INDIRECT("'Student_Record 1'!C" &amp; ROW())="", "", INDIRECT("'Student_Record 1'!C" &amp; ROW()))</f>
        <v>463</v>
      </c>
      <c r="C164" s="8" t="str" cm="1">
        <f t="array" aca="1" ref="C164" ca="1">IF(INDIRECT("'Student_Record 1'!E" &amp; ROW())="", "", INDIRECT("'Student_Record 1'!E" &amp; ROW()))</f>
        <v>TEJU PRAJAPAT</v>
      </c>
      <c r="D164" s="8" t="str" cm="1">
        <f t="array" aca="1" ref="D164" ca="1">IF(INDIRECT("'Student_Record 1'!G" &amp; ROW())="", "", INDIRECT("'Student_Record 1'!G" &amp; ROW()))</f>
        <v>DHOOLA RAM PRAJAPAT</v>
      </c>
      <c r="E164" s="8" t="str" cm="1">
        <f t="array" aca="1" ref="E164" ca="1">IF(INDIRECT("'Student_Record 1'!I" &amp; ROW())="", "", INDIRECT("'Student_Record 1'!I" &amp; ROW()))</f>
        <v>M</v>
      </c>
      <c r="F164" s="8" t="str" cm="1">
        <f t="array" aca="1" ref="F164" ca="1">IF(INDIRECT("'Student_Record 1'!O" &amp; ROW())="", "", INDIRECT("'Student_Record 1'!O" &amp; ROW()))</f>
        <v>OBC</v>
      </c>
      <c r="G164" s="11"/>
      <c r="I164" s="11"/>
      <c r="J164" s="11"/>
      <c r="K164" s="11"/>
      <c r="L164" s="11"/>
      <c r="M164" s="11"/>
      <c r="N164" s="11"/>
      <c r="O164" s="11"/>
      <c r="P164" s="11"/>
      <c r="Q164" s="11"/>
    </row>
    <row r="165" spans="1:17" x14ac:dyDescent="0.25">
      <c r="A165" s="8" cm="1">
        <f t="array" aca="1" ref="A165" ca="1">IF(INDIRECT("'Student_Record 1'!A" &amp; ROW())="", "", INDIRECT("'Student_Record 1'!A" &amp; ROW()))</f>
        <v>6</v>
      </c>
      <c r="B165" s="8" cm="1">
        <f t="array" aca="1" ref="B165" ca="1">IF(INDIRECT("'Student_Record 1'!C" &amp; ROW())="", "", INDIRECT("'Student_Record 1'!C" &amp; ROW()))</f>
        <v>627</v>
      </c>
      <c r="C165" s="8" t="str" cm="1">
        <f t="array" aca="1" ref="C165" ca="1">IF(INDIRECT("'Student_Record 1'!E" &amp; ROW())="", "", INDIRECT("'Student_Record 1'!E" &amp; ROW()))</f>
        <v>Vikas Choudhary</v>
      </c>
      <c r="D165" s="8" t="str" cm="1">
        <f t="array" aca="1" ref="D165" ca="1">IF(INDIRECT("'Student_Record 1'!G" &amp; ROW())="", "", INDIRECT("'Student_Record 1'!G" &amp; ROW()))</f>
        <v>Gopal</v>
      </c>
      <c r="E165" s="8" t="str" cm="1">
        <f t="array" aca="1" ref="E165" ca="1">IF(INDIRECT("'Student_Record 1'!I" &amp; ROW())="", "", INDIRECT("'Student_Record 1'!I" &amp; ROW()))</f>
        <v>M</v>
      </c>
      <c r="F165" s="8" t="str" cm="1">
        <f t="array" aca="1" ref="F165" ca="1">IF(INDIRECT("'Student_Record 1'!O" &amp; ROW())="", "", INDIRECT("'Student_Record 1'!O" &amp; ROW()))</f>
        <v>OBC</v>
      </c>
      <c r="G165" s="11"/>
      <c r="I165" s="11"/>
      <c r="J165" s="11"/>
      <c r="K165" s="11"/>
      <c r="L165" s="11"/>
      <c r="M165" s="11"/>
      <c r="N165" s="11"/>
      <c r="O165" s="11"/>
      <c r="P165" s="11"/>
      <c r="Q165" s="11"/>
    </row>
    <row r="166" spans="1:17" x14ac:dyDescent="0.25">
      <c r="A166" s="8" cm="1">
        <f t="array" aca="1" ref="A166" ca="1">IF(INDIRECT("'Student_Record 1'!A" &amp; ROW())="", "", INDIRECT("'Student_Record 1'!A" &amp; ROW()))</f>
        <v>6</v>
      </c>
      <c r="B166" s="8" cm="1">
        <f t="array" aca="1" ref="B166" ca="1">IF(INDIRECT("'Student_Record 1'!C" &amp; ROW())="", "", INDIRECT("'Student_Record 1'!C" &amp; ROW()))</f>
        <v>545</v>
      </c>
      <c r="C166" s="8" t="str" cm="1">
        <f t="array" aca="1" ref="C166" ca="1">IF(INDIRECT("'Student_Record 1'!E" &amp; ROW())="", "", INDIRECT("'Student_Record 1'!E" &amp; ROW()))</f>
        <v>VISHNU CHOUDHARY</v>
      </c>
      <c r="D166" s="8" t="str" cm="1">
        <f t="array" aca="1" ref="D166" ca="1">IF(INDIRECT("'Student_Record 1'!G" &amp; ROW())="", "", INDIRECT("'Student_Record 1'!G" &amp; ROW()))</f>
        <v>HATHI RAM</v>
      </c>
      <c r="E166" s="8" t="str" cm="1">
        <f t="array" aca="1" ref="E166" ca="1">IF(INDIRECT("'Student_Record 1'!I" &amp; ROW())="", "", INDIRECT("'Student_Record 1'!I" &amp; ROW()))</f>
        <v>M</v>
      </c>
      <c r="F166" s="8" t="str" cm="1">
        <f t="array" aca="1" ref="F166" ca="1">IF(INDIRECT("'Student_Record 1'!O" &amp; ROW())="", "", INDIRECT("'Student_Record 1'!O" &amp; ROW()))</f>
        <v>OBC</v>
      </c>
      <c r="G166" s="11"/>
      <c r="I166" s="11"/>
      <c r="J166" s="11"/>
      <c r="K166" s="11"/>
      <c r="L166" s="11"/>
      <c r="M166" s="11"/>
      <c r="N166" s="11"/>
      <c r="O166" s="11"/>
      <c r="P166" s="11"/>
      <c r="Q166" s="11"/>
    </row>
    <row r="167" spans="1:17" x14ac:dyDescent="0.25">
      <c r="A167" s="8" cm="1">
        <f t="array" aca="1" ref="A167" ca="1">IF(INDIRECT("'Student_Record 1'!A" &amp; ROW())="", "", INDIRECT("'Student_Record 1'!A" &amp; ROW()))</f>
        <v>7</v>
      </c>
      <c r="B167" s="8" cm="1">
        <f t="array" aca="1" ref="B167" ca="1">IF(INDIRECT("'Student_Record 1'!C" &amp; ROW())="", "", INDIRECT("'Student_Record 1'!C" &amp; ROW()))</f>
        <v>502</v>
      </c>
      <c r="C167" s="8" t="str" cm="1">
        <f t="array" aca="1" ref="C167" ca="1">IF(INDIRECT("'Student_Record 1'!E" &amp; ROW())="", "", INDIRECT("'Student_Record 1'!E" &amp; ROW()))</f>
        <v>AASHU CHOUDHARY</v>
      </c>
      <c r="D167" s="8" t="str" cm="1">
        <f t="array" aca="1" ref="D167" ca="1">IF(INDIRECT("'Student_Record 1'!G" &amp; ROW())="", "", INDIRECT("'Student_Record 1'!G" &amp; ROW()))</f>
        <v>HARIRAM CHOUDHARY</v>
      </c>
      <c r="E167" s="8" t="str" cm="1">
        <f t="array" aca="1" ref="E167" ca="1">IF(INDIRECT("'Student_Record 1'!I" &amp; ROW())="", "", INDIRECT("'Student_Record 1'!I" &amp; ROW()))</f>
        <v>F</v>
      </c>
      <c r="F167" s="8" t="str" cm="1">
        <f t="array" aca="1" ref="F167" ca="1">IF(INDIRECT("'Student_Record 1'!O" &amp; ROW())="", "", INDIRECT("'Student_Record 1'!O" &amp; ROW()))</f>
        <v>OBC</v>
      </c>
      <c r="G167" s="11"/>
      <c r="I167" s="11"/>
      <c r="J167" s="11"/>
      <c r="K167" s="11"/>
      <c r="L167" s="11"/>
      <c r="M167" s="11"/>
      <c r="N167" s="11"/>
      <c r="O167" s="11"/>
      <c r="P167" s="11"/>
      <c r="Q167" s="11"/>
    </row>
    <row r="168" spans="1:17" x14ac:dyDescent="0.25">
      <c r="A168" s="8" cm="1">
        <f t="array" aca="1" ref="A168" ca="1">IF(INDIRECT("'Student_Record 1'!A" &amp; ROW())="", "", INDIRECT("'Student_Record 1'!A" &amp; ROW()))</f>
        <v>7</v>
      </c>
      <c r="B168" s="8" cm="1">
        <f t="array" aca="1" ref="B168" ca="1">IF(INDIRECT("'Student_Record 1'!C" &amp; ROW())="", "", INDIRECT("'Student_Record 1'!C" &amp; ROW()))</f>
        <v>818</v>
      </c>
      <c r="C168" s="8" t="str" cm="1">
        <f t="array" aca="1" ref="C168" ca="1">IF(INDIRECT("'Student_Record 1'!E" &amp; ROW())="", "", INDIRECT("'Student_Record 1'!E" &amp; ROW()))</f>
        <v>Abhishek Choudhary</v>
      </c>
      <c r="D168" s="8" t="str" cm="1">
        <f t="array" aca="1" ref="D168" ca="1">IF(INDIRECT("'Student_Record 1'!G" &amp; ROW())="", "", INDIRECT("'Student_Record 1'!G" &amp; ROW()))</f>
        <v>Bheru Lal Choudhary</v>
      </c>
      <c r="E168" s="8" t="str" cm="1">
        <f t="array" aca="1" ref="E168" ca="1">IF(INDIRECT("'Student_Record 1'!I" &amp; ROW())="", "", INDIRECT("'Student_Record 1'!I" &amp; ROW()))</f>
        <v>M</v>
      </c>
      <c r="F168" s="8" t="str" cm="1">
        <f t="array" aca="1" ref="F168" ca="1">IF(INDIRECT("'Student_Record 1'!O" &amp; ROW())="", "", INDIRECT("'Student_Record 1'!O" &amp; ROW()))</f>
        <v>OBC</v>
      </c>
      <c r="G168" s="11"/>
      <c r="I168" s="11"/>
      <c r="J168" s="11"/>
      <c r="K168" s="11"/>
      <c r="L168" s="11"/>
      <c r="M168" s="11"/>
      <c r="N168" s="11"/>
      <c r="O168" s="11"/>
      <c r="P168" s="11"/>
      <c r="Q168" s="11"/>
    </row>
    <row r="169" spans="1:17" x14ac:dyDescent="0.25">
      <c r="A169" s="8" cm="1">
        <f t="array" aca="1" ref="A169" ca="1">IF(INDIRECT("'Student_Record 1'!A" &amp; ROW())="", "", INDIRECT("'Student_Record 1'!A" &amp; ROW()))</f>
        <v>7</v>
      </c>
      <c r="B169" s="8" cm="1">
        <f t="array" aca="1" ref="B169" ca="1">IF(INDIRECT("'Student_Record 1'!C" &amp; ROW())="", "", INDIRECT("'Student_Record 1'!C" &amp; ROW()))</f>
        <v>821</v>
      </c>
      <c r="C169" s="8" t="str" cm="1">
        <f t="array" aca="1" ref="C169" ca="1">IF(INDIRECT("'Student_Record 1'!E" &amp; ROW())="", "", INDIRECT("'Student_Record 1'!E" &amp; ROW()))</f>
        <v>Anjali Devi Bheel</v>
      </c>
      <c r="D169" s="8" t="str" cm="1">
        <f t="array" aca="1" ref="D169" ca="1">IF(INDIRECT("'Student_Record 1'!G" &amp; ROW())="", "", INDIRECT("'Student_Record 1'!G" &amp; ROW()))</f>
        <v>Bhannu Bheel</v>
      </c>
      <c r="E169" s="8" t="str" cm="1">
        <f t="array" aca="1" ref="E169" ca="1">IF(INDIRECT("'Student_Record 1'!I" &amp; ROW())="", "", INDIRECT("'Student_Record 1'!I" &amp; ROW()))</f>
        <v>F</v>
      </c>
      <c r="F169" s="8" t="str" cm="1">
        <f t="array" aca="1" ref="F169" ca="1">IF(INDIRECT("'Student_Record 1'!O" &amp; ROW())="", "", INDIRECT("'Student_Record 1'!O" &amp; ROW()))</f>
        <v>ST</v>
      </c>
      <c r="G169" s="11"/>
      <c r="I169" s="11"/>
      <c r="J169" s="11"/>
      <c r="K169" s="11"/>
      <c r="L169" s="11"/>
      <c r="M169" s="11"/>
      <c r="N169" s="11"/>
      <c r="O169" s="11"/>
      <c r="P169" s="11"/>
      <c r="Q169" s="11"/>
    </row>
    <row r="170" spans="1:17" x14ac:dyDescent="0.25">
      <c r="A170" s="8" cm="1">
        <f t="array" aca="1" ref="A170" ca="1">IF(INDIRECT("'Student_Record 1'!A" &amp; ROW())="", "", INDIRECT("'Student_Record 1'!A" &amp; ROW()))</f>
        <v>7</v>
      </c>
      <c r="B170" s="8" cm="1">
        <f t="array" aca="1" ref="B170" ca="1">IF(INDIRECT("'Student_Record 1'!C" &amp; ROW())="", "", INDIRECT("'Student_Record 1'!C" &amp; ROW()))</f>
        <v>537</v>
      </c>
      <c r="C170" s="8" t="str" cm="1">
        <f t="array" aca="1" ref="C170" ca="1">IF(INDIRECT("'Student_Record 1'!E" &amp; ROW())="", "", INDIRECT("'Student_Record 1'!E" &amp; ROW()))</f>
        <v>ANJU JAT</v>
      </c>
      <c r="D170" s="8" t="str" cm="1">
        <f t="array" aca="1" ref="D170" ca="1">IF(INDIRECT("'Student_Record 1'!G" &amp; ROW())="", "", INDIRECT("'Student_Record 1'!G" &amp; ROW()))</f>
        <v>HATHI RAM</v>
      </c>
      <c r="E170" s="8" t="str" cm="1">
        <f t="array" aca="1" ref="E170" ca="1">IF(INDIRECT("'Student_Record 1'!I" &amp; ROW())="", "", INDIRECT("'Student_Record 1'!I" &amp; ROW()))</f>
        <v>F</v>
      </c>
      <c r="F170" s="8" t="str" cm="1">
        <f t="array" aca="1" ref="F170" ca="1">IF(INDIRECT("'Student_Record 1'!O" &amp; ROW())="", "", INDIRECT("'Student_Record 1'!O" &amp; ROW()))</f>
        <v>OBC</v>
      </c>
      <c r="G170" s="11"/>
      <c r="I170" s="11"/>
      <c r="J170" s="11"/>
      <c r="K170" s="11"/>
      <c r="L170" s="11"/>
      <c r="M170" s="11"/>
      <c r="N170" s="11"/>
      <c r="O170" s="11"/>
      <c r="P170" s="11"/>
      <c r="Q170" s="11"/>
    </row>
    <row r="171" spans="1:17" x14ac:dyDescent="0.25">
      <c r="A171" s="8" cm="1">
        <f t="array" aca="1" ref="A171" ca="1">IF(INDIRECT("'Student_Record 1'!A" &amp; ROW())="", "", INDIRECT("'Student_Record 1'!A" &amp; ROW()))</f>
        <v>7</v>
      </c>
      <c r="B171" s="8" cm="1">
        <f t="array" aca="1" ref="B171" ca="1">IF(INDIRECT("'Student_Record 1'!C" &amp; ROW())="", "", INDIRECT("'Student_Record 1'!C" &amp; ROW()))</f>
        <v>745</v>
      </c>
      <c r="C171" s="8" t="str" cm="1">
        <f t="array" aca="1" ref="C171" ca="1">IF(INDIRECT("'Student_Record 1'!E" &amp; ROW())="", "", INDIRECT("'Student_Record 1'!E" &amp; ROW()))</f>
        <v>ASHAD ALI</v>
      </c>
      <c r="D171" s="8" t="str" cm="1">
        <f t="array" aca="1" ref="D171" ca="1">IF(INDIRECT("'Student_Record 1'!G" &amp; ROW())="", "", INDIRECT("'Student_Record 1'!G" &amp; ROW()))</f>
        <v>SHAHBUDDIN KURESHI</v>
      </c>
      <c r="E171" s="8" t="str" cm="1">
        <f t="array" aca="1" ref="E171" ca="1">IF(INDIRECT("'Student_Record 1'!I" &amp; ROW())="", "", INDIRECT("'Student_Record 1'!I" &amp; ROW()))</f>
        <v>M</v>
      </c>
      <c r="F171" s="8" t="str" cm="1">
        <f t="array" aca="1" ref="F171" ca="1">IF(INDIRECT("'Student_Record 1'!O" &amp; ROW())="", "", INDIRECT("'Student_Record 1'!O" &amp; ROW()))</f>
        <v>OBC</v>
      </c>
      <c r="G171" s="11"/>
      <c r="I171" s="11"/>
      <c r="J171" s="11"/>
      <c r="K171" s="11"/>
      <c r="L171" s="11"/>
      <c r="M171" s="11"/>
      <c r="N171" s="11"/>
      <c r="O171" s="11"/>
      <c r="P171" s="11"/>
      <c r="Q171" s="11"/>
    </row>
    <row r="172" spans="1:17" x14ac:dyDescent="0.25">
      <c r="A172" s="8" cm="1">
        <f t="array" aca="1" ref="A172" ca="1">IF(INDIRECT("'Student_Record 1'!A" &amp; ROW())="", "", INDIRECT("'Student_Record 1'!A" &amp; ROW()))</f>
        <v>7</v>
      </c>
      <c r="B172" s="8" cm="1">
        <f t="array" aca="1" ref="B172" ca="1">IF(INDIRECT("'Student_Record 1'!C" &amp; ROW())="", "", INDIRECT("'Student_Record 1'!C" &amp; ROW()))</f>
        <v>601</v>
      </c>
      <c r="C172" s="8" t="str" cm="1">
        <f t="array" aca="1" ref="C172" ca="1">IF(INDIRECT("'Student_Record 1'!E" &amp; ROW())="", "", INDIRECT("'Student_Record 1'!E" &amp; ROW()))</f>
        <v>ASHARAM PRAJAPAT</v>
      </c>
      <c r="D172" s="8" t="str" cm="1">
        <f t="array" aca="1" ref="D172" ca="1">IF(INDIRECT("'Student_Record 1'!G" &amp; ROW())="", "", INDIRECT("'Student_Record 1'!G" &amp; ROW()))</f>
        <v>RAMSUKH PRAJAPAT</v>
      </c>
      <c r="E172" s="8" t="str" cm="1">
        <f t="array" aca="1" ref="E172" ca="1">IF(INDIRECT("'Student_Record 1'!I" &amp; ROW())="", "", INDIRECT("'Student_Record 1'!I" &amp; ROW()))</f>
        <v>M</v>
      </c>
      <c r="F172" s="8" t="str" cm="1">
        <f t="array" aca="1" ref="F172" ca="1">IF(INDIRECT("'Student_Record 1'!O" &amp; ROW())="", "", INDIRECT("'Student_Record 1'!O" &amp; ROW()))</f>
        <v>OBC</v>
      </c>
      <c r="G172" s="11"/>
      <c r="I172" s="11"/>
      <c r="J172" s="11"/>
      <c r="K172" s="11"/>
      <c r="L172" s="11"/>
      <c r="M172" s="11"/>
      <c r="N172" s="11"/>
      <c r="O172" s="11"/>
      <c r="P172" s="11"/>
      <c r="Q172" s="11"/>
    </row>
    <row r="173" spans="1:17" x14ac:dyDescent="0.25">
      <c r="A173" s="8" cm="1">
        <f t="array" aca="1" ref="A173" ca="1">IF(INDIRECT("'Student_Record 1'!A" &amp; ROW())="", "", INDIRECT("'Student_Record 1'!A" &amp; ROW()))</f>
        <v>7</v>
      </c>
      <c r="B173" s="8" cm="1">
        <f t="array" aca="1" ref="B173" ca="1">IF(INDIRECT("'Student_Record 1'!C" &amp; ROW())="", "", INDIRECT("'Student_Record 1'!C" &amp; ROW()))</f>
        <v>462</v>
      </c>
      <c r="C173" s="8" t="str" cm="1">
        <f t="array" aca="1" ref="C173" ca="1">IF(INDIRECT("'Student_Record 1'!E" &amp; ROW())="", "", INDIRECT("'Student_Record 1'!E" &amp; ROW()))</f>
        <v>BALRAM PRAJAPAT</v>
      </c>
      <c r="D173" s="8" t="str" cm="1">
        <f t="array" aca="1" ref="D173" ca="1">IF(INDIRECT("'Student_Record 1'!G" &amp; ROW())="", "", INDIRECT("'Student_Record 1'!G" &amp; ROW()))</f>
        <v>OMPRAKASH PRAJAPAT</v>
      </c>
      <c r="E173" s="8" t="str" cm="1">
        <f t="array" aca="1" ref="E173" ca="1">IF(INDIRECT("'Student_Record 1'!I" &amp; ROW())="", "", INDIRECT("'Student_Record 1'!I" &amp; ROW()))</f>
        <v>M</v>
      </c>
      <c r="F173" s="8" t="str" cm="1">
        <f t="array" aca="1" ref="F173" ca="1">IF(INDIRECT("'Student_Record 1'!O" &amp; ROW())="", "", INDIRECT("'Student_Record 1'!O" &amp; ROW()))</f>
        <v>OBC</v>
      </c>
      <c r="G173" s="11"/>
      <c r="I173" s="11"/>
      <c r="J173" s="11"/>
      <c r="K173" s="11"/>
      <c r="L173" s="11"/>
      <c r="M173" s="11"/>
      <c r="N173" s="11"/>
      <c r="O173" s="11"/>
      <c r="P173" s="11"/>
      <c r="Q173" s="11"/>
    </row>
    <row r="174" spans="1:17" x14ac:dyDescent="0.25">
      <c r="A174" s="8" cm="1">
        <f t="array" aca="1" ref="A174" ca="1">IF(INDIRECT("'Student_Record 1'!A" &amp; ROW())="", "", INDIRECT("'Student_Record 1'!A" &amp; ROW()))</f>
        <v>7</v>
      </c>
      <c r="B174" s="8" cm="1">
        <f t="array" aca="1" ref="B174" ca="1">IF(INDIRECT("'Student_Record 1'!C" &amp; ROW())="", "", INDIRECT("'Student_Record 1'!C" &amp; ROW()))</f>
        <v>858</v>
      </c>
      <c r="C174" s="8" t="str" cm="1">
        <f t="array" aca="1" ref="C174" ca="1">IF(INDIRECT("'Student_Record 1'!E" &amp; ROW())="", "", INDIRECT("'Student_Record 1'!E" &amp; ROW()))</f>
        <v>CHARAN</v>
      </c>
      <c r="D174" s="8" t="str" cm="1">
        <f t="array" aca="1" ref="D174" ca="1">IF(INDIRECT("'Student_Record 1'!G" &amp; ROW())="", "", INDIRECT("'Student_Record 1'!G" &amp; ROW()))</f>
        <v>BRHMANAND JAT</v>
      </c>
      <c r="E174" s="8" t="str" cm="1">
        <f t="array" aca="1" ref="E174" ca="1">IF(INDIRECT("'Student_Record 1'!I" &amp; ROW())="", "", INDIRECT("'Student_Record 1'!I" &amp; ROW()))</f>
        <v>M</v>
      </c>
      <c r="F174" s="8" t="str" cm="1">
        <f t="array" aca="1" ref="F174" ca="1">IF(INDIRECT("'Student_Record 1'!O" &amp; ROW())="", "", INDIRECT("'Student_Record 1'!O" &amp; ROW()))</f>
        <v>OBC</v>
      </c>
      <c r="G174" s="11"/>
      <c r="I174" s="11"/>
      <c r="J174" s="11"/>
      <c r="K174" s="11"/>
      <c r="L174" s="11"/>
      <c r="M174" s="11"/>
      <c r="N174" s="11"/>
      <c r="O174" s="11"/>
      <c r="P174" s="11"/>
      <c r="Q174" s="11"/>
    </row>
    <row r="175" spans="1:17" x14ac:dyDescent="0.25">
      <c r="A175" s="8" cm="1">
        <f t="array" aca="1" ref="A175" ca="1">IF(INDIRECT("'Student_Record 1'!A" &amp; ROW())="", "", INDIRECT("'Student_Record 1'!A" &amp; ROW()))</f>
        <v>7</v>
      </c>
      <c r="B175" s="8" cm="1">
        <f t="array" aca="1" ref="B175" ca="1">IF(INDIRECT("'Student_Record 1'!C" &amp; ROW())="", "", INDIRECT("'Student_Record 1'!C" &amp; ROW()))</f>
        <v>594</v>
      </c>
      <c r="C175" s="8" t="str" cm="1">
        <f t="array" aca="1" ref="C175" ca="1">IF(INDIRECT("'Student_Record 1'!E" &amp; ROW())="", "", INDIRECT("'Student_Record 1'!E" &amp; ROW()))</f>
        <v>DINESH MEGHAWANSHI</v>
      </c>
      <c r="D175" s="8" t="str" cm="1">
        <f t="array" aca="1" ref="D175" ca="1">IF(INDIRECT("'Student_Record 1'!G" &amp; ROW())="", "", INDIRECT("'Student_Record 1'!G" &amp; ROW()))</f>
        <v>SHAUKIN MEGHAWANSHI</v>
      </c>
      <c r="E175" s="8" t="str" cm="1">
        <f t="array" aca="1" ref="E175" ca="1">IF(INDIRECT("'Student_Record 1'!I" &amp; ROW())="", "", INDIRECT("'Student_Record 1'!I" &amp; ROW()))</f>
        <v>M</v>
      </c>
      <c r="F175" s="8" t="str" cm="1">
        <f t="array" aca="1" ref="F175" ca="1">IF(INDIRECT("'Student_Record 1'!O" &amp; ROW())="", "", INDIRECT("'Student_Record 1'!O" &amp; ROW()))</f>
        <v>SC</v>
      </c>
      <c r="G175" s="11"/>
      <c r="I175" s="11"/>
      <c r="J175" s="11"/>
      <c r="K175" s="11"/>
      <c r="L175" s="11"/>
      <c r="M175" s="11"/>
      <c r="N175" s="11"/>
      <c r="O175" s="11"/>
      <c r="P175" s="11"/>
      <c r="Q175" s="11"/>
    </row>
    <row r="176" spans="1:17" x14ac:dyDescent="0.25">
      <c r="A176" s="8" cm="1">
        <f t="array" aca="1" ref="A176" ca="1">IF(INDIRECT("'Student_Record 1'!A" &amp; ROW())="", "", INDIRECT("'Student_Record 1'!A" &amp; ROW()))</f>
        <v>7</v>
      </c>
      <c r="B176" s="8" cm="1">
        <f t="array" aca="1" ref="B176" ca="1">IF(INDIRECT("'Student_Record 1'!C" &amp; ROW())="", "", INDIRECT("'Student_Record 1'!C" &amp; ROW()))</f>
        <v>503</v>
      </c>
      <c r="C176" s="8" t="str" cm="1">
        <f t="array" aca="1" ref="C176" ca="1">IF(INDIRECT("'Student_Record 1'!E" &amp; ROW())="", "", INDIRECT("'Student_Record 1'!E" &amp; ROW()))</f>
        <v>INKAR JAT</v>
      </c>
      <c r="D176" s="8" t="str" cm="1">
        <f t="array" aca="1" ref="D176" ca="1">IF(INDIRECT("'Student_Record 1'!G" &amp; ROW())="", "", INDIRECT("'Student_Record 1'!G" &amp; ROW()))</f>
        <v>KANARAM JAT</v>
      </c>
      <c r="E176" s="8" t="str" cm="1">
        <f t="array" aca="1" ref="E176" ca="1">IF(INDIRECT("'Student_Record 1'!I" &amp; ROW())="", "", INDIRECT("'Student_Record 1'!I" &amp; ROW()))</f>
        <v>F</v>
      </c>
      <c r="F176" s="8" t="str" cm="1">
        <f t="array" aca="1" ref="F176" ca="1">IF(INDIRECT("'Student_Record 1'!O" &amp; ROW())="", "", INDIRECT("'Student_Record 1'!O" &amp; ROW()))</f>
        <v>OBC</v>
      </c>
      <c r="G176" s="11"/>
      <c r="I176" s="11"/>
      <c r="J176" s="11"/>
      <c r="K176" s="11"/>
      <c r="L176" s="11"/>
      <c r="M176" s="11"/>
      <c r="N176" s="11"/>
      <c r="O176" s="11"/>
      <c r="P176" s="11"/>
      <c r="Q176" s="11"/>
    </row>
    <row r="177" spans="1:17" x14ac:dyDescent="0.25">
      <c r="A177" s="8" cm="1">
        <f t="array" aca="1" ref="A177" ca="1">IF(INDIRECT("'Student_Record 1'!A" &amp; ROW())="", "", INDIRECT("'Student_Record 1'!A" &amp; ROW()))</f>
        <v>7</v>
      </c>
      <c r="B177" s="8" cm="1">
        <f t="array" aca="1" ref="B177" ca="1">IF(INDIRECT("'Student_Record 1'!C" &amp; ROW())="", "", INDIRECT("'Student_Record 1'!C" &amp; ROW()))</f>
        <v>824</v>
      </c>
      <c r="C177" s="8" t="str" cm="1">
        <f t="array" aca="1" ref="C177" ca="1">IF(INDIRECT("'Student_Record 1'!E" &amp; ROW())="", "", INDIRECT("'Student_Record 1'!E" &amp; ROW()))</f>
        <v>JAISINGH BHEEL</v>
      </c>
      <c r="D177" s="8" t="str" cm="1">
        <f t="array" aca="1" ref="D177" ca="1">IF(INDIRECT("'Student_Record 1'!G" &amp; ROW())="", "", INDIRECT("'Student_Record 1'!G" &amp; ROW()))</f>
        <v>SHAITAN RAM BHEEL</v>
      </c>
      <c r="E177" s="8" t="str" cm="1">
        <f t="array" aca="1" ref="E177" ca="1">IF(INDIRECT("'Student_Record 1'!I" &amp; ROW())="", "", INDIRECT("'Student_Record 1'!I" &amp; ROW()))</f>
        <v>M</v>
      </c>
      <c r="F177" s="8" t="str" cm="1">
        <f t="array" aca="1" ref="F177" ca="1">IF(INDIRECT("'Student_Record 1'!O" &amp; ROW())="", "", INDIRECT("'Student_Record 1'!O" &amp; ROW()))</f>
        <v>ST</v>
      </c>
      <c r="G177" s="11"/>
      <c r="I177" s="11"/>
      <c r="J177" s="11"/>
      <c r="K177" s="11"/>
      <c r="L177" s="11"/>
      <c r="M177" s="11"/>
      <c r="N177" s="11"/>
      <c r="O177" s="11"/>
      <c r="P177" s="11"/>
      <c r="Q177" s="11"/>
    </row>
    <row r="178" spans="1:17" x14ac:dyDescent="0.25">
      <c r="A178" s="8" cm="1">
        <f t="array" aca="1" ref="A178" ca="1">IF(INDIRECT("'Student_Record 1'!A" &amp; ROW())="", "", INDIRECT("'Student_Record 1'!A" &amp; ROW()))</f>
        <v>7</v>
      </c>
      <c r="B178" s="8" cm="1">
        <f t="array" aca="1" ref="B178" ca="1">IF(INDIRECT("'Student_Record 1'!C" &amp; ROW())="", "", INDIRECT("'Student_Record 1'!C" &amp; ROW()))</f>
        <v>466</v>
      </c>
      <c r="C178" s="8" t="str" cm="1">
        <f t="array" aca="1" ref="C178" ca="1">IF(INDIRECT("'Student_Record 1'!E" &amp; ROW())="", "", INDIRECT("'Student_Record 1'!E" &amp; ROW()))</f>
        <v>JEETU RAIDAS</v>
      </c>
      <c r="D178" s="8" t="str" cm="1">
        <f t="array" aca="1" ref="D178" ca="1">IF(INDIRECT("'Student_Record 1'!G" &amp; ROW())="", "", INDIRECT("'Student_Record 1'!G" &amp; ROW()))</f>
        <v>NARESH RAIDAS</v>
      </c>
      <c r="E178" s="8" t="str" cm="1">
        <f t="array" aca="1" ref="E178" ca="1">IF(INDIRECT("'Student_Record 1'!I" &amp; ROW())="", "", INDIRECT("'Student_Record 1'!I" &amp; ROW()))</f>
        <v>M</v>
      </c>
      <c r="F178" s="8" t="str" cm="1">
        <f t="array" aca="1" ref="F178" ca="1">IF(INDIRECT("'Student_Record 1'!O" &amp; ROW())="", "", INDIRECT("'Student_Record 1'!O" &amp; ROW()))</f>
        <v>SC</v>
      </c>
      <c r="G178" s="11"/>
      <c r="I178" s="11"/>
      <c r="J178" s="11"/>
      <c r="K178" s="11"/>
      <c r="L178" s="11"/>
      <c r="M178" s="11"/>
      <c r="N178" s="11"/>
      <c r="O178" s="11"/>
      <c r="P178" s="11"/>
      <c r="Q178" s="11"/>
    </row>
    <row r="179" spans="1:17" x14ac:dyDescent="0.25">
      <c r="A179" s="8" cm="1">
        <f t="array" aca="1" ref="A179" ca="1">IF(INDIRECT("'Student_Record 1'!A" &amp; ROW())="", "", INDIRECT("'Student_Record 1'!A" &amp; ROW()))</f>
        <v>7</v>
      </c>
      <c r="B179" s="8" cm="1">
        <f t="array" aca="1" ref="B179" ca="1">IF(INDIRECT("'Student_Record 1'!C" &amp; ROW())="", "", INDIRECT("'Student_Record 1'!C" &amp; ROW()))</f>
        <v>582</v>
      </c>
      <c r="C179" s="8" t="str" cm="1">
        <f t="array" aca="1" ref="C179" ca="1">IF(INDIRECT("'Student_Record 1'!E" &amp; ROW())="", "", INDIRECT("'Student_Record 1'!E" &amp; ROW()))</f>
        <v>KALPNA HARIJAN</v>
      </c>
      <c r="D179" s="8" t="str" cm="1">
        <f t="array" aca="1" ref="D179" ca="1">IF(INDIRECT("'Student_Record 1'!G" &amp; ROW())="", "", INDIRECT("'Student_Record 1'!G" &amp; ROW()))</f>
        <v>PINKU HARIJAN</v>
      </c>
      <c r="E179" s="8" t="str" cm="1">
        <f t="array" aca="1" ref="E179" ca="1">IF(INDIRECT("'Student_Record 1'!I" &amp; ROW())="", "", INDIRECT("'Student_Record 1'!I" &amp; ROW()))</f>
        <v>F</v>
      </c>
      <c r="F179" s="8" t="str" cm="1">
        <f t="array" aca="1" ref="F179" ca="1">IF(INDIRECT("'Student_Record 1'!O" &amp; ROW())="", "", INDIRECT("'Student_Record 1'!O" &amp; ROW()))</f>
        <v>SC</v>
      </c>
      <c r="G179" s="11"/>
      <c r="I179" s="11"/>
      <c r="J179" s="11"/>
      <c r="K179" s="11"/>
      <c r="L179" s="11"/>
      <c r="M179" s="11"/>
      <c r="N179" s="11"/>
      <c r="O179" s="11"/>
      <c r="P179" s="11"/>
      <c r="Q179" s="11"/>
    </row>
    <row r="180" spans="1:17" x14ac:dyDescent="0.25">
      <c r="A180" s="8" cm="1">
        <f t="array" aca="1" ref="A180" ca="1">IF(INDIRECT("'Student_Record 1'!A" &amp; ROW())="", "", INDIRECT("'Student_Record 1'!A" &amp; ROW()))</f>
        <v>7</v>
      </c>
      <c r="B180" s="8" cm="1">
        <f t="array" aca="1" ref="B180" ca="1">IF(INDIRECT("'Student_Record 1'!C" &amp; ROW())="", "", INDIRECT("'Student_Record 1'!C" &amp; ROW()))</f>
        <v>859</v>
      </c>
      <c r="C180" s="8" t="str" cm="1">
        <f t="array" aca="1" ref="C180" ca="1">IF(INDIRECT("'Student_Record 1'!E" &amp; ROW())="", "", INDIRECT("'Student_Record 1'!E" &amp; ROW()))</f>
        <v>KHUSHBU</v>
      </c>
      <c r="D180" s="8" t="str" cm="1">
        <f t="array" aca="1" ref="D180" ca="1">IF(INDIRECT("'Student_Record 1'!G" &amp; ROW())="", "", INDIRECT("'Student_Record 1'!G" &amp; ROW()))</f>
        <v>SATYANARAYAN NAYAK</v>
      </c>
      <c r="E180" s="8" t="str" cm="1">
        <f t="array" aca="1" ref="E180" ca="1">IF(INDIRECT("'Student_Record 1'!I" &amp; ROW())="", "", INDIRECT("'Student_Record 1'!I" &amp; ROW()))</f>
        <v>F</v>
      </c>
      <c r="F180" s="8" t="str" cm="1">
        <f t="array" aca="1" ref="F180" ca="1">IF(INDIRECT("'Student_Record 1'!O" &amp; ROW())="", "", INDIRECT("'Student_Record 1'!O" &amp; ROW()))</f>
        <v>SC</v>
      </c>
      <c r="G180" s="11"/>
      <c r="I180" s="11"/>
      <c r="J180" s="11"/>
      <c r="K180" s="11"/>
      <c r="L180" s="11"/>
      <c r="M180" s="11"/>
      <c r="N180" s="11"/>
      <c r="O180" s="11"/>
      <c r="P180" s="11"/>
      <c r="Q180" s="11"/>
    </row>
    <row r="181" spans="1:17" x14ac:dyDescent="0.25">
      <c r="A181" s="8" cm="1">
        <f t="array" aca="1" ref="A181" ca="1">IF(INDIRECT("'Student_Record 1'!A" &amp; ROW())="", "", INDIRECT("'Student_Record 1'!A" &amp; ROW()))</f>
        <v>7</v>
      </c>
      <c r="B181" s="8" cm="1">
        <f t="array" aca="1" ref="B181" ca="1">IF(INDIRECT("'Student_Record 1'!C" &amp; ROW())="", "", INDIRECT("'Student_Record 1'!C" &amp; ROW()))</f>
        <v>820</v>
      </c>
      <c r="C181" s="8" t="str" cm="1">
        <f t="array" aca="1" ref="C181" ca="1">IF(INDIRECT("'Student_Record 1'!E" &amp; ROW())="", "", INDIRECT("'Student_Record 1'!E" &amp; ROW()))</f>
        <v>Komal Devi Choudhary</v>
      </c>
      <c r="D181" s="8" t="str" cm="1">
        <f t="array" aca="1" ref="D181" ca="1">IF(INDIRECT("'Student_Record 1'!G" &amp; ROW())="", "", INDIRECT("'Student_Record 1'!G" &amp; ROW()))</f>
        <v>Basram Choudhary</v>
      </c>
      <c r="E181" s="8" t="str" cm="1">
        <f t="array" aca="1" ref="E181" ca="1">IF(INDIRECT("'Student_Record 1'!I" &amp; ROW())="", "", INDIRECT("'Student_Record 1'!I" &amp; ROW()))</f>
        <v>F</v>
      </c>
      <c r="F181" s="8" t="str" cm="1">
        <f t="array" aca="1" ref="F181" ca="1">IF(INDIRECT("'Student_Record 1'!O" &amp; ROW())="", "", INDIRECT("'Student_Record 1'!O" &amp; ROW()))</f>
        <v>OBC</v>
      </c>
      <c r="G181" s="11"/>
      <c r="I181" s="11"/>
      <c r="J181" s="11"/>
      <c r="K181" s="11"/>
      <c r="L181" s="11"/>
      <c r="M181" s="11"/>
      <c r="N181" s="11"/>
      <c r="O181" s="11"/>
      <c r="P181" s="11"/>
      <c r="Q181" s="11"/>
    </row>
    <row r="182" spans="1:17" x14ac:dyDescent="0.25">
      <c r="A182" s="8" cm="1">
        <f t="array" aca="1" ref="A182" ca="1">IF(INDIRECT("'Student_Record 1'!A" &amp; ROW())="", "", INDIRECT("'Student_Record 1'!A" &amp; ROW()))</f>
        <v>7</v>
      </c>
      <c r="B182" s="8" cm="1">
        <f t="array" aca="1" ref="B182" ca="1">IF(INDIRECT("'Student_Record 1'!C" &amp; ROW())="", "", INDIRECT("'Student_Record 1'!C" &amp; ROW()))</f>
        <v>504</v>
      </c>
      <c r="C182" s="8" t="str" cm="1">
        <f t="array" aca="1" ref="C182" ca="1">IF(INDIRECT("'Student_Record 1'!E" &amp; ROW())="", "", INDIRECT("'Student_Record 1'!E" &amp; ROW()))</f>
        <v>KOMAL JAT</v>
      </c>
      <c r="D182" s="8" t="str" cm="1">
        <f t="array" aca="1" ref="D182" ca="1">IF(INDIRECT("'Student_Record 1'!G" &amp; ROW())="", "", INDIRECT("'Student_Record 1'!G" &amp; ROW()))</f>
        <v>GOPAL JAT</v>
      </c>
      <c r="E182" s="8" t="str" cm="1">
        <f t="array" aca="1" ref="E182" ca="1">IF(INDIRECT("'Student_Record 1'!I" &amp; ROW())="", "", INDIRECT("'Student_Record 1'!I" &amp; ROW()))</f>
        <v>F</v>
      </c>
      <c r="F182" s="8" t="str" cm="1">
        <f t="array" aca="1" ref="F182" ca="1">IF(INDIRECT("'Student_Record 1'!O" &amp; ROW())="", "", INDIRECT("'Student_Record 1'!O" &amp; ROW()))</f>
        <v>OBC</v>
      </c>
      <c r="G182" s="11"/>
      <c r="I182" s="11"/>
      <c r="J182" s="11"/>
      <c r="K182" s="11"/>
      <c r="L182" s="11"/>
      <c r="M182" s="11"/>
      <c r="N182" s="11"/>
      <c r="O182" s="11"/>
      <c r="P182" s="11"/>
      <c r="Q182" s="11"/>
    </row>
    <row r="183" spans="1:17" x14ac:dyDescent="0.25">
      <c r="A183" s="8" cm="1">
        <f t="array" aca="1" ref="A183" ca="1">IF(INDIRECT("'Student_Record 1'!A" &amp; ROW())="", "", INDIRECT("'Student_Record 1'!A" &amp; ROW()))</f>
        <v>7</v>
      </c>
      <c r="B183" s="8" cm="1">
        <f t="array" aca="1" ref="B183" ca="1">IF(INDIRECT("'Student_Record 1'!C" &amp; ROW())="", "", INDIRECT("'Student_Record 1'!C" &amp; ROW()))</f>
        <v>536</v>
      </c>
      <c r="C183" s="8" t="str" cm="1">
        <f t="array" aca="1" ref="C183" ca="1">IF(INDIRECT("'Student_Record 1'!E" &amp; ROW())="", "", INDIRECT("'Student_Record 1'!E" &amp; ROW()))</f>
        <v>KOMAL JAT</v>
      </c>
      <c r="D183" s="8" t="str" cm="1">
        <f t="array" aca="1" ref="D183" ca="1">IF(INDIRECT("'Student_Record 1'!G" &amp; ROW())="", "", INDIRECT("'Student_Record 1'!G" &amp; ROW()))</f>
        <v>SHANKAR LAL CHOUDHARY</v>
      </c>
      <c r="E183" s="8" t="str" cm="1">
        <f t="array" aca="1" ref="E183" ca="1">IF(INDIRECT("'Student_Record 1'!I" &amp; ROW())="", "", INDIRECT("'Student_Record 1'!I" &amp; ROW()))</f>
        <v>F</v>
      </c>
      <c r="F183" s="8" t="str" cm="1">
        <f t="array" aca="1" ref="F183" ca="1">IF(INDIRECT("'Student_Record 1'!O" &amp; ROW())="", "", INDIRECT("'Student_Record 1'!O" &amp; ROW()))</f>
        <v>OBC</v>
      </c>
      <c r="G183" s="11"/>
      <c r="I183" s="11"/>
      <c r="J183" s="11"/>
      <c r="K183" s="11"/>
      <c r="L183" s="11"/>
      <c r="M183" s="11"/>
      <c r="N183" s="11"/>
      <c r="O183" s="11"/>
      <c r="P183" s="11"/>
      <c r="Q183" s="11"/>
    </row>
    <row r="184" spans="1:17" x14ac:dyDescent="0.25">
      <c r="A184" s="8" cm="1">
        <f t="array" aca="1" ref="A184" ca="1">IF(INDIRECT("'Student_Record 1'!A" &amp; ROW())="", "", INDIRECT("'Student_Record 1'!A" &amp; ROW()))</f>
        <v>7</v>
      </c>
      <c r="B184" s="8" cm="1">
        <f t="array" aca="1" ref="B184" ca="1">IF(INDIRECT("'Student_Record 1'!C" &amp; ROW())="", "", INDIRECT("'Student_Record 1'!C" &amp; ROW()))</f>
        <v>388</v>
      </c>
      <c r="C184" s="8" t="str" cm="1">
        <f t="array" aca="1" ref="C184" ca="1">IF(INDIRECT("'Student_Record 1'!E" &amp; ROW())="", "", INDIRECT("'Student_Record 1'!E" &amp; ROW()))</f>
        <v>KOMAL JAT</v>
      </c>
      <c r="D184" s="8" t="str" cm="1">
        <f t="array" aca="1" ref="D184" ca="1">IF(INDIRECT("'Student_Record 1'!G" &amp; ROW())="", "", INDIRECT("'Student_Record 1'!G" &amp; ROW()))</f>
        <v>KALYAN JAT</v>
      </c>
      <c r="E184" s="8" t="str" cm="1">
        <f t="array" aca="1" ref="E184" ca="1">IF(INDIRECT("'Student_Record 1'!I" &amp; ROW())="", "", INDIRECT("'Student_Record 1'!I" &amp; ROW()))</f>
        <v>F</v>
      </c>
      <c r="F184" s="8" t="str" cm="1">
        <f t="array" aca="1" ref="F184" ca="1">IF(INDIRECT("'Student_Record 1'!O" &amp; ROW())="", "", INDIRECT("'Student_Record 1'!O" &amp; ROW()))</f>
        <v>OBC</v>
      </c>
      <c r="G184" s="11"/>
      <c r="I184" s="11"/>
      <c r="J184" s="11"/>
      <c r="K184" s="11"/>
      <c r="L184" s="11"/>
      <c r="M184" s="11"/>
      <c r="N184" s="11"/>
      <c r="O184" s="11"/>
      <c r="P184" s="11"/>
      <c r="Q184" s="11"/>
    </row>
    <row r="185" spans="1:17" x14ac:dyDescent="0.25">
      <c r="A185" s="8" cm="1">
        <f t="array" aca="1" ref="A185" ca="1">IF(INDIRECT("'Student_Record 1'!A" &amp; ROW())="", "", INDIRECT("'Student_Record 1'!A" &amp; ROW()))</f>
        <v>7</v>
      </c>
      <c r="B185" s="8" cm="1">
        <f t="array" aca="1" ref="B185" ca="1">IF(INDIRECT("'Student_Record 1'!C" &amp; ROW())="", "", INDIRECT("'Student_Record 1'!C" &amp; ROW()))</f>
        <v>868</v>
      </c>
      <c r="C185" s="8" t="str" cm="1">
        <f t="array" aca="1" ref="C185" ca="1">IF(INDIRECT("'Student_Record 1'!E" &amp; ROW())="", "", INDIRECT("'Student_Record 1'!E" &amp; ROW()))</f>
        <v>KOSHYLYA</v>
      </c>
      <c r="D185" s="8" t="str" cm="1">
        <f t="array" aca="1" ref="D185" ca="1">IF(INDIRECT("'Student_Record 1'!G" &amp; ROW())="", "", INDIRECT("'Student_Record 1'!G" &amp; ROW()))</f>
        <v>DINESH JAT</v>
      </c>
      <c r="E185" s="8" t="str" cm="1">
        <f t="array" aca="1" ref="E185" ca="1">IF(INDIRECT("'Student_Record 1'!I" &amp; ROW())="", "", INDIRECT("'Student_Record 1'!I" &amp; ROW()))</f>
        <v>F</v>
      </c>
      <c r="F185" s="8" t="str" cm="1">
        <f t="array" aca="1" ref="F185" ca="1">IF(INDIRECT("'Student_Record 1'!O" &amp; ROW())="", "", INDIRECT("'Student_Record 1'!O" &amp; ROW()))</f>
        <v>OBC</v>
      </c>
      <c r="G185" s="11"/>
      <c r="I185" s="11"/>
      <c r="J185" s="11"/>
      <c r="K185" s="11"/>
      <c r="L185" s="11"/>
      <c r="M185" s="11"/>
      <c r="N185" s="11"/>
      <c r="O185" s="11"/>
      <c r="P185" s="11"/>
      <c r="Q185" s="11"/>
    </row>
    <row r="186" spans="1:17" x14ac:dyDescent="0.25">
      <c r="A186" s="8" cm="1">
        <f t="array" aca="1" ref="A186" ca="1">IF(INDIRECT("'Student_Record 1'!A" &amp; ROW())="", "", INDIRECT("'Student_Record 1'!A" &amp; ROW()))</f>
        <v>7</v>
      </c>
      <c r="B186" s="8" cm="1">
        <f t="array" aca="1" ref="B186" ca="1">IF(INDIRECT("'Student_Record 1'!C" &amp; ROW())="", "", INDIRECT("'Student_Record 1'!C" &amp; ROW()))</f>
        <v>826</v>
      </c>
      <c r="C186" s="8" t="str" cm="1">
        <f t="array" aca="1" ref="C186" ca="1">IF(INDIRECT("'Student_Record 1'!E" &amp; ROW())="", "", INDIRECT("'Student_Record 1'!E" &amp; ROW()))</f>
        <v>LAKHIRAM MEGHWANSHI</v>
      </c>
      <c r="D186" s="8" t="str" cm="1">
        <f t="array" aca="1" ref="D186" ca="1">IF(INDIRECT("'Student_Record 1'!G" &amp; ROW())="", "", INDIRECT("'Student_Record 1'!G" &amp; ROW()))</f>
        <v>HEMRAJ</v>
      </c>
      <c r="E186" s="8" t="str" cm="1">
        <f t="array" aca="1" ref="E186" ca="1">IF(INDIRECT("'Student_Record 1'!I" &amp; ROW())="", "", INDIRECT("'Student_Record 1'!I" &amp; ROW()))</f>
        <v>M</v>
      </c>
      <c r="F186" s="8" t="str" cm="1">
        <f t="array" aca="1" ref="F186" ca="1">IF(INDIRECT("'Student_Record 1'!O" &amp; ROW())="", "", INDIRECT("'Student_Record 1'!O" &amp; ROW()))</f>
        <v>SC</v>
      </c>
      <c r="G186" s="11"/>
      <c r="I186" s="11"/>
      <c r="J186" s="11"/>
      <c r="K186" s="11"/>
      <c r="L186" s="11"/>
      <c r="M186" s="11"/>
      <c r="N186" s="11"/>
      <c r="O186" s="11"/>
      <c r="P186" s="11"/>
      <c r="Q186" s="11"/>
    </row>
    <row r="187" spans="1:17" x14ac:dyDescent="0.25">
      <c r="A187" s="8" cm="1">
        <f t="array" aca="1" ref="A187" ca="1">IF(INDIRECT("'Student_Record 1'!A" &amp; ROW())="", "", INDIRECT("'Student_Record 1'!A" &amp; ROW()))</f>
        <v>7</v>
      </c>
      <c r="B187" s="8" cm="1">
        <f t="array" aca="1" ref="B187" ca="1">IF(INDIRECT("'Student_Record 1'!C" &amp; ROW())="", "", INDIRECT("'Student_Record 1'!C" &amp; ROW()))</f>
        <v>665</v>
      </c>
      <c r="C187" s="8" t="str" cm="1">
        <f t="array" aca="1" ref="C187" ca="1">IF(INDIRECT("'Student_Record 1'!E" &amp; ROW())="", "", INDIRECT("'Student_Record 1'!E" &amp; ROW()))</f>
        <v>MANU</v>
      </c>
      <c r="D187" s="8" t="str" cm="1">
        <f t="array" aca="1" ref="D187" ca="1">IF(INDIRECT("'Student_Record 1'!G" &amp; ROW())="", "", INDIRECT("'Student_Record 1'!G" &amp; ROW()))</f>
        <v>CHHOTU</v>
      </c>
      <c r="E187" s="8" t="str" cm="1">
        <f t="array" aca="1" ref="E187" ca="1">IF(INDIRECT("'Student_Record 1'!I" &amp; ROW())="", "", INDIRECT("'Student_Record 1'!I" &amp; ROW()))</f>
        <v>M</v>
      </c>
      <c r="F187" s="8" t="str" cm="1">
        <f t="array" aca="1" ref="F187" ca="1">IF(INDIRECT("'Student_Record 1'!O" &amp; ROW())="", "", INDIRECT("'Student_Record 1'!O" &amp; ROW()))</f>
        <v>OBC</v>
      </c>
      <c r="G187" s="11"/>
      <c r="I187" s="11"/>
      <c r="J187" s="11"/>
      <c r="K187" s="11"/>
      <c r="L187" s="11"/>
      <c r="M187" s="11"/>
      <c r="N187" s="11"/>
      <c r="O187" s="11"/>
      <c r="P187" s="11"/>
      <c r="Q187" s="11"/>
    </row>
    <row r="188" spans="1:17" x14ac:dyDescent="0.25">
      <c r="A188" s="8" cm="1">
        <f t="array" aca="1" ref="A188" ca="1">IF(INDIRECT("'Student_Record 1'!A" &amp; ROW())="", "", INDIRECT("'Student_Record 1'!A" &amp; ROW()))</f>
        <v>7</v>
      </c>
      <c r="B188" s="8" cm="1">
        <f t="array" aca="1" ref="B188" ca="1">IF(INDIRECT("'Student_Record 1'!C" &amp; ROW())="", "", INDIRECT("'Student_Record 1'!C" &amp; ROW()))</f>
        <v>703</v>
      </c>
      <c r="C188" s="8" t="str" cm="1">
        <f t="array" aca="1" ref="C188" ca="1">IF(INDIRECT("'Student_Record 1'!E" &amp; ROW())="", "", INDIRECT("'Student_Record 1'!E" &amp; ROW()))</f>
        <v>MONIKA JAT</v>
      </c>
      <c r="D188" s="8" t="str" cm="1">
        <f t="array" aca="1" ref="D188" ca="1">IF(INDIRECT("'Student_Record 1'!G" &amp; ROW())="", "", INDIRECT("'Student_Record 1'!G" &amp; ROW()))</f>
        <v>PRABHU JAT</v>
      </c>
      <c r="E188" s="8" t="str" cm="1">
        <f t="array" aca="1" ref="E188" ca="1">IF(INDIRECT("'Student_Record 1'!I" &amp; ROW())="", "", INDIRECT("'Student_Record 1'!I" &amp; ROW()))</f>
        <v>F</v>
      </c>
      <c r="F188" s="8" t="str" cm="1">
        <f t="array" aca="1" ref="F188" ca="1">IF(INDIRECT("'Student_Record 1'!O" &amp; ROW())="", "", INDIRECT("'Student_Record 1'!O" &amp; ROW()))</f>
        <v>OBC</v>
      </c>
      <c r="G188" s="11"/>
      <c r="I188" s="11"/>
      <c r="J188" s="11"/>
      <c r="K188" s="11"/>
      <c r="L188" s="11"/>
      <c r="M188" s="11"/>
      <c r="N188" s="11"/>
      <c r="O188" s="11"/>
      <c r="P188" s="11"/>
      <c r="Q188" s="11"/>
    </row>
    <row r="189" spans="1:17" x14ac:dyDescent="0.25">
      <c r="A189" s="8" cm="1">
        <f t="array" aca="1" ref="A189" ca="1">IF(INDIRECT("'Student_Record 1'!A" &amp; ROW())="", "", INDIRECT("'Student_Record 1'!A" &amp; ROW()))</f>
        <v>7</v>
      </c>
      <c r="B189" s="8" cm="1">
        <f t="array" aca="1" ref="B189" ca="1">IF(INDIRECT("'Student_Record 1'!C" &amp; ROW())="", "", INDIRECT("'Student_Record 1'!C" &amp; ROW()))</f>
        <v>848</v>
      </c>
      <c r="C189" s="8" t="str" cm="1">
        <f t="array" aca="1" ref="C189" ca="1">IF(INDIRECT("'Student_Record 1'!E" &amp; ROW())="", "", INDIRECT("'Student_Record 1'!E" &amp; ROW()))</f>
        <v>Parina</v>
      </c>
      <c r="D189" s="8" t="str" cm="1">
        <f t="array" aca="1" ref="D189" ca="1">IF(INDIRECT("'Student_Record 1'!G" &amp; ROW())="", "", INDIRECT("'Student_Record 1'!G" &amp; ROW()))</f>
        <v>Sattar</v>
      </c>
      <c r="E189" s="8" t="str" cm="1">
        <f t="array" aca="1" ref="E189" ca="1">IF(INDIRECT("'Student_Record 1'!I" &amp; ROW())="", "", INDIRECT("'Student_Record 1'!I" &amp; ROW()))</f>
        <v>F</v>
      </c>
      <c r="F189" s="8" t="str" cm="1">
        <f t="array" aca="1" ref="F189" ca="1">IF(INDIRECT("'Student_Record 1'!O" &amp; ROW())="", "", INDIRECT("'Student_Record 1'!O" &amp; ROW()))</f>
        <v>OBC</v>
      </c>
      <c r="G189" s="11"/>
      <c r="I189" s="11"/>
      <c r="J189" s="11"/>
      <c r="K189" s="11"/>
      <c r="L189" s="11"/>
      <c r="M189" s="11"/>
      <c r="N189" s="11"/>
      <c r="O189" s="11"/>
      <c r="P189" s="11"/>
      <c r="Q189" s="11"/>
    </row>
    <row r="190" spans="1:17" x14ac:dyDescent="0.25">
      <c r="A190" s="8" cm="1">
        <f t="array" aca="1" ref="A190" ca="1">IF(INDIRECT("'Student_Record 1'!A" &amp; ROW())="", "", INDIRECT("'Student_Record 1'!A" &amp; ROW()))</f>
        <v>7</v>
      </c>
      <c r="B190" s="8" cm="1">
        <f t="array" aca="1" ref="B190" ca="1">IF(INDIRECT("'Student_Record 1'!C" &amp; ROW())="", "", INDIRECT("'Student_Record 1'!C" &amp; ROW()))</f>
        <v>869</v>
      </c>
      <c r="C190" s="8" t="str" cm="1">
        <f t="array" aca="1" ref="C190" ca="1">IF(INDIRECT("'Student_Record 1'!E" &amp; ROW())="", "", INDIRECT("'Student_Record 1'!E" &amp; ROW()))</f>
        <v>PAYAL</v>
      </c>
      <c r="D190" s="8" t="str" cm="1">
        <f t="array" aca="1" ref="D190" ca="1">IF(INDIRECT("'Student_Record 1'!G" &amp; ROW())="", "", INDIRECT("'Student_Record 1'!G" &amp; ROW()))</f>
        <v>SHAITAN GURJAR</v>
      </c>
      <c r="E190" s="8" t="str" cm="1">
        <f t="array" aca="1" ref="E190" ca="1">IF(INDIRECT("'Student_Record 1'!I" &amp; ROW())="", "", INDIRECT("'Student_Record 1'!I" &amp; ROW()))</f>
        <v>F</v>
      </c>
      <c r="F190" s="8" t="str" cm="1">
        <f t="array" aca="1" ref="F190" ca="1">IF(INDIRECT("'Student_Record 1'!O" &amp; ROW())="", "", INDIRECT("'Student_Record 1'!O" &amp; ROW()))</f>
        <v>SBC</v>
      </c>
      <c r="G190" s="11"/>
      <c r="I190" s="11"/>
      <c r="J190" s="11"/>
      <c r="K190" s="11"/>
      <c r="L190" s="11"/>
      <c r="M190" s="11"/>
      <c r="N190" s="11"/>
      <c r="O190" s="11"/>
      <c r="P190" s="11"/>
      <c r="Q190" s="11"/>
    </row>
    <row r="191" spans="1:17" x14ac:dyDescent="0.25">
      <c r="A191" s="8" cm="1">
        <f t="array" aca="1" ref="A191" ca="1">IF(INDIRECT("'Student_Record 1'!A" &amp; ROW())="", "", INDIRECT("'Student_Record 1'!A" &amp; ROW()))</f>
        <v>7</v>
      </c>
      <c r="B191" s="8" cm="1">
        <f t="array" aca="1" ref="B191" ca="1">IF(INDIRECT("'Student_Record 1'!C" &amp; ROW())="", "", INDIRECT("'Student_Record 1'!C" &amp; ROW()))</f>
        <v>847</v>
      </c>
      <c r="C191" s="8" t="str" cm="1">
        <f t="array" aca="1" ref="C191" ca="1">IF(INDIRECT("'Student_Record 1'!E" &amp; ROW())="", "", INDIRECT("'Student_Record 1'!E" &amp; ROW()))</f>
        <v>PINKY DEVI CHOUDHARY</v>
      </c>
      <c r="D191" s="8" t="str" cm="1">
        <f t="array" aca="1" ref="D191" ca="1">IF(INDIRECT("'Student_Record 1'!G" &amp; ROW())="", "", INDIRECT("'Student_Record 1'!G" &amp; ROW()))</f>
        <v>KANARAM CHOUDHARY</v>
      </c>
      <c r="E191" s="8" t="str" cm="1">
        <f t="array" aca="1" ref="E191" ca="1">IF(INDIRECT("'Student_Record 1'!I" &amp; ROW())="", "", INDIRECT("'Student_Record 1'!I" &amp; ROW()))</f>
        <v>F</v>
      </c>
      <c r="F191" s="8" t="str" cm="1">
        <f t="array" aca="1" ref="F191" ca="1">IF(INDIRECT("'Student_Record 1'!O" &amp; ROW())="", "", INDIRECT("'Student_Record 1'!O" &amp; ROW()))</f>
        <v>OBC</v>
      </c>
      <c r="G191" s="11"/>
      <c r="I191" s="11"/>
      <c r="J191" s="11"/>
      <c r="K191" s="11"/>
      <c r="L191" s="11"/>
      <c r="M191" s="11"/>
      <c r="N191" s="11"/>
      <c r="O191" s="11"/>
      <c r="P191" s="11"/>
      <c r="Q191" s="11"/>
    </row>
    <row r="192" spans="1:17" x14ac:dyDescent="0.25">
      <c r="A192" s="8" cm="1">
        <f t="array" aca="1" ref="A192" ca="1">IF(INDIRECT("'Student_Record 1'!A" &amp; ROW())="", "", INDIRECT("'Student_Record 1'!A" &amp; ROW()))</f>
        <v>7</v>
      </c>
      <c r="B192" s="8" cm="1">
        <f t="array" aca="1" ref="B192" ca="1">IF(INDIRECT("'Student_Record 1'!C" &amp; ROW())="", "", INDIRECT("'Student_Record 1'!C" &amp; ROW()))</f>
        <v>870</v>
      </c>
      <c r="C192" s="8" t="str" cm="1">
        <f t="array" aca="1" ref="C192" ca="1">IF(INDIRECT("'Student_Record 1'!E" &amp; ROW())="", "", INDIRECT("'Student_Record 1'!E" &amp; ROW()))</f>
        <v>POOJA JAT</v>
      </c>
      <c r="D192" s="8" t="str" cm="1">
        <f t="array" aca="1" ref="D192" ca="1">IF(INDIRECT("'Student_Record 1'!G" &amp; ROW())="", "", INDIRECT("'Student_Record 1'!G" &amp; ROW()))</f>
        <v>PRADHAN JAT</v>
      </c>
      <c r="E192" s="8" t="str" cm="1">
        <f t="array" aca="1" ref="E192" ca="1">IF(INDIRECT("'Student_Record 1'!I" &amp; ROW())="", "", INDIRECT("'Student_Record 1'!I" &amp; ROW()))</f>
        <v>F</v>
      </c>
      <c r="F192" s="8" t="str" cm="1">
        <f t="array" aca="1" ref="F192" ca="1">IF(INDIRECT("'Student_Record 1'!O" &amp; ROW())="", "", INDIRECT("'Student_Record 1'!O" &amp; ROW()))</f>
        <v>OBC</v>
      </c>
      <c r="G192" s="11"/>
      <c r="I192" s="11"/>
      <c r="J192" s="11"/>
      <c r="K192" s="11"/>
      <c r="L192" s="11"/>
      <c r="M192" s="11"/>
      <c r="N192" s="11"/>
      <c r="O192" s="11"/>
      <c r="P192" s="11"/>
      <c r="Q192" s="11"/>
    </row>
    <row r="193" spans="1:17" x14ac:dyDescent="0.25">
      <c r="A193" s="8" cm="1">
        <f t="array" aca="1" ref="A193" ca="1">IF(INDIRECT("'Student_Record 1'!A" &amp; ROW())="", "", INDIRECT("'Student_Record 1'!A" &amp; ROW()))</f>
        <v>7</v>
      </c>
      <c r="B193" s="8" cm="1">
        <f t="array" aca="1" ref="B193" ca="1">IF(INDIRECT("'Student_Record 1'!C" &amp; ROW())="", "", INDIRECT("'Student_Record 1'!C" &amp; ROW()))</f>
        <v>825</v>
      </c>
      <c r="C193" s="8" t="str" cm="1">
        <f t="array" aca="1" ref="C193" ca="1">IF(INDIRECT("'Student_Record 1'!E" &amp; ROW())="", "", INDIRECT("'Student_Record 1'!E" &amp; ROW()))</f>
        <v>RAMSINGH BHEEL</v>
      </c>
      <c r="D193" s="8" t="str" cm="1">
        <f t="array" aca="1" ref="D193" ca="1">IF(INDIRECT("'Student_Record 1'!G" &amp; ROW())="", "", INDIRECT("'Student_Record 1'!G" &amp; ROW()))</f>
        <v>RAJU BHEEL</v>
      </c>
      <c r="E193" s="8" t="str" cm="1">
        <f t="array" aca="1" ref="E193" ca="1">IF(INDIRECT("'Student_Record 1'!I" &amp; ROW())="", "", INDIRECT("'Student_Record 1'!I" &amp; ROW()))</f>
        <v>M</v>
      </c>
      <c r="F193" s="8" t="str" cm="1">
        <f t="array" aca="1" ref="F193" ca="1">IF(INDIRECT("'Student_Record 1'!O" &amp; ROW())="", "", INDIRECT("'Student_Record 1'!O" &amp; ROW()))</f>
        <v>ST</v>
      </c>
      <c r="G193" s="11"/>
      <c r="I193" s="11"/>
      <c r="J193" s="11"/>
      <c r="K193" s="11"/>
      <c r="L193" s="11"/>
      <c r="M193" s="11"/>
      <c r="N193" s="11"/>
      <c r="O193" s="11"/>
      <c r="P193" s="11"/>
      <c r="Q193" s="11"/>
    </row>
    <row r="194" spans="1:17" x14ac:dyDescent="0.25">
      <c r="A194" s="8" cm="1">
        <f t="array" aca="1" ref="A194" ca="1">IF(INDIRECT("'Student_Record 1'!A" &amp; ROW())="", "", INDIRECT("'Student_Record 1'!A" &amp; ROW()))</f>
        <v>7</v>
      </c>
      <c r="B194" s="8" cm="1">
        <f t="array" aca="1" ref="B194" ca="1">IF(INDIRECT("'Student_Record 1'!C" &amp; ROW())="", "", INDIRECT("'Student_Record 1'!C" &amp; ROW()))</f>
        <v>461</v>
      </c>
      <c r="C194" s="8" t="str" cm="1">
        <f t="array" aca="1" ref="C194" ca="1">IF(INDIRECT("'Student_Record 1'!E" &amp; ROW())="", "", INDIRECT("'Student_Record 1'!E" &amp; ROW()))</f>
        <v>RINKU PRAJAPAT</v>
      </c>
      <c r="D194" s="8" t="str" cm="1">
        <f t="array" aca="1" ref="D194" ca="1">IF(INDIRECT("'Student_Record 1'!G" &amp; ROW())="", "", INDIRECT("'Student_Record 1'!G" &amp; ROW()))</f>
        <v>OMPRAKASH PRAJAPAT</v>
      </c>
      <c r="E194" s="8" t="str" cm="1">
        <f t="array" aca="1" ref="E194" ca="1">IF(INDIRECT("'Student_Record 1'!I" &amp; ROW())="", "", INDIRECT("'Student_Record 1'!I" &amp; ROW()))</f>
        <v>F</v>
      </c>
      <c r="F194" s="8" t="str" cm="1">
        <f t="array" aca="1" ref="F194" ca="1">IF(INDIRECT("'Student_Record 1'!O" &amp; ROW())="", "", INDIRECT("'Student_Record 1'!O" &amp; ROW()))</f>
        <v>OBC</v>
      </c>
      <c r="G194" s="11"/>
      <c r="I194" s="11"/>
      <c r="J194" s="11"/>
      <c r="K194" s="11"/>
      <c r="L194" s="11"/>
      <c r="M194" s="11"/>
      <c r="N194" s="11"/>
      <c r="O194" s="11"/>
      <c r="P194" s="11"/>
      <c r="Q194" s="11"/>
    </row>
    <row r="195" spans="1:17" x14ac:dyDescent="0.25">
      <c r="A195" s="8" cm="1">
        <f t="array" aca="1" ref="A195" ca="1">IF(INDIRECT("'Student_Record 1'!A" &amp; ROW())="", "", INDIRECT("'Student_Record 1'!A" &amp; ROW()))</f>
        <v>7</v>
      </c>
      <c r="B195" s="8" cm="1">
        <f t="array" aca="1" ref="B195" ca="1">IF(INDIRECT("'Student_Record 1'!C" &amp; ROW())="", "", INDIRECT("'Student_Record 1'!C" &amp; ROW()))</f>
        <v>823</v>
      </c>
      <c r="C195" s="8" t="str" cm="1">
        <f t="array" aca="1" ref="C195" ca="1">IF(INDIRECT("'Student_Record 1'!E" &amp; ROW())="", "", INDIRECT("'Student_Record 1'!E" &amp; ROW()))</f>
        <v>SANOJ DEVI BHEEL</v>
      </c>
      <c r="D195" s="8" t="str" cm="1">
        <f t="array" aca="1" ref="D195" ca="1">IF(INDIRECT("'Student_Record 1'!G" &amp; ROW())="", "", INDIRECT("'Student_Record 1'!G" &amp; ROW()))</f>
        <v>SHANKAR LAL BHEEL</v>
      </c>
      <c r="E195" s="8" t="str" cm="1">
        <f t="array" aca="1" ref="E195" ca="1">IF(INDIRECT("'Student_Record 1'!I" &amp; ROW())="", "", INDIRECT("'Student_Record 1'!I" &amp; ROW()))</f>
        <v>F</v>
      </c>
      <c r="F195" s="8" t="str" cm="1">
        <f t="array" aca="1" ref="F195" ca="1">IF(INDIRECT("'Student_Record 1'!O" &amp; ROW())="", "", INDIRECT("'Student_Record 1'!O" &amp; ROW()))</f>
        <v>ST</v>
      </c>
      <c r="G195" s="11"/>
      <c r="I195" s="11"/>
      <c r="J195" s="11"/>
      <c r="K195" s="11"/>
      <c r="L195" s="11"/>
      <c r="M195" s="11"/>
      <c r="N195" s="11"/>
      <c r="O195" s="11"/>
      <c r="P195" s="11"/>
      <c r="Q195" s="11"/>
    </row>
    <row r="196" spans="1:17" x14ac:dyDescent="0.25">
      <c r="A196" s="8" cm="1">
        <f t="array" aca="1" ref="A196" ca="1">IF(INDIRECT("'Student_Record 1'!A" &amp; ROW())="", "", INDIRECT("'Student_Record 1'!A" &amp; ROW()))</f>
        <v>7</v>
      </c>
      <c r="B196" s="8" cm="1">
        <f t="array" aca="1" ref="B196" ca="1">IF(INDIRECT("'Student_Record 1'!C" &amp; ROW())="", "", INDIRECT("'Student_Record 1'!C" &amp; ROW()))</f>
        <v>455</v>
      </c>
      <c r="C196" s="8" t="str" cm="1">
        <f t="array" aca="1" ref="C196" ca="1">IF(INDIRECT("'Student_Record 1'!E" &amp; ROW())="", "", INDIRECT("'Student_Record 1'!E" &amp; ROW()))</f>
        <v>SUMAN JAT</v>
      </c>
      <c r="D196" s="8" t="str" cm="1">
        <f t="array" aca="1" ref="D196" ca="1">IF(INDIRECT("'Student_Record 1'!G" &amp; ROW())="", "", INDIRECT("'Student_Record 1'!G" &amp; ROW()))</f>
        <v>HATHI RAM JAT</v>
      </c>
      <c r="E196" s="8" t="str" cm="1">
        <f t="array" aca="1" ref="E196" ca="1">IF(INDIRECT("'Student_Record 1'!I" &amp; ROW())="", "", INDIRECT("'Student_Record 1'!I" &amp; ROW()))</f>
        <v>F</v>
      </c>
      <c r="F196" s="8" t="str" cm="1">
        <f t="array" aca="1" ref="F196" ca="1">IF(INDIRECT("'Student_Record 1'!O" &amp; ROW())="", "", INDIRECT("'Student_Record 1'!O" &amp; ROW()))</f>
        <v>OBC</v>
      </c>
      <c r="G196" s="11"/>
      <c r="I196" s="11"/>
      <c r="J196" s="11"/>
      <c r="K196" s="11"/>
      <c r="L196" s="11"/>
      <c r="M196" s="11"/>
      <c r="N196" s="11"/>
      <c r="O196" s="11"/>
      <c r="P196" s="11"/>
      <c r="Q196" s="11"/>
    </row>
    <row r="197" spans="1:17" x14ac:dyDescent="0.25">
      <c r="A197" s="8" cm="1">
        <f t="array" aca="1" ref="A197" ca="1">IF(INDIRECT("'Student_Record 1'!A" &amp; ROW())="", "", INDIRECT("'Student_Record 1'!A" &amp; ROW()))</f>
        <v>7</v>
      </c>
      <c r="B197" s="8" cm="1">
        <f t="array" aca="1" ref="B197" ca="1">IF(INDIRECT("'Student_Record 1'!C" &amp; ROW())="", "", INDIRECT("'Student_Record 1'!C" &amp; ROW()))</f>
        <v>836</v>
      </c>
      <c r="C197" s="8" t="str" cm="1">
        <f t="array" aca="1" ref="C197" ca="1">IF(INDIRECT("'Student_Record 1'!E" &amp; ROW())="", "", INDIRECT("'Student_Record 1'!E" &amp; ROW()))</f>
        <v>SUMAN JAT</v>
      </c>
      <c r="D197" s="8" t="str" cm="1">
        <f t="array" aca="1" ref="D197" ca="1">IF(INDIRECT("'Student_Record 1'!G" &amp; ROW())="", "", INDIRECT("'Student_Record 1'!G" &amp; ROW()))</f>
        <v>BHAG CHAND JAT</v>
      </c>
      <c r="E197" s="8" t="str" cm="1">
        <f t="array" aca="1" ref="E197" ca="1">IF(INDIRECT("'Student_Record 1'!I" &amp; ROW())="", "", INDIRECT("'Student_Record 1'!I" &amp; ROW()))</f>
        <v>F</v>
      </c>
      <c r="F197" s="8" t="str" cm="1">
        <f t="array" aca="1" ref="F197" ca="1">IF(INDIRECT("'Student_Record 1'!O" &amp; ROW())="", "", INDIRECT("'Student_Record 1'!O" &amp; ROW()))</f>
        <v>OBC</v>
      </c>
      <c r="G197" s="11"/>
      <c r="I197" s="11"/>
      <c r="J197" s="11"/>
      <c r="K197" s="11"/>
      <c r="L197" s="11"/>
      <c r="M197" s="11"/>
      <c r="N197" s="11"/>
      <c r="O197" s="11"/>
      <c r="P197" s="11"/>
      <c r="Q197" s="11"/>
    </row>
    <row r="198" spans="1:17" x14ac:dyDescent="0.25">
      <c r="A198" s="8" cm="1">
        <f t="array" aca="1" ref="A198" ca="1">IF(INDIRECT("'Student_Record 1'!A" &amp; ROW())="", "", INDIRECT("'Student_Record 1'!A" &amp; ROW()))</f>
        <v>7</v>
      </c>
      <c r="B198" s="8" cm="1">
        <f t="array" aca="1" ref="B198" ca="1">IF(INDIRECT("'Student_Record 1'!C" &amp; ROW())="", "", INDIRECT("'Student_Record 1'!C" &amp; ROW()))</f>
        <v>447</v>
      </c>
      <c r="C198" s="8" t="str" cm="1">
        <f t="array" aca="1" ref="C198" ca="1">IF(INDIRECT("'Student_Record 1'!E" &amp; ROW())="", "", INDIRECT("'Student_Record 1'!E" &amp; ROW()))</f>
        <v>SUMAN PRAJAPAT</v>
      </c>
      <c r="D198" s="8" t="str" cm="1">
        <f t="array" aca="1" ref="D198" ca="1">IF(INDIRECT("'Student_Record 1'!G" &amp; ROW())="", "", INDIRECT("'Student_Record 1'!G" &amp; ROW()))</f>
        <v>PRAKASH PRAJAPAT</v>
      </c>
      <c r="E198" s="8" t="str" cm="1">
        <f t="array" aca="1" ref="E198" ca="1">IF(INDIRECT("'Student_Record 1'!I" &amp; ROW())="", "", INDIRECT("'Student_Record 1'!I" &amp; ROW()))</f>
        <v>F</v>
      </c>
      <c r="F198" s="8" t="str" cm="1">
        <f t="array" aca="1" ref="F198" ca="1">IF(INDIRECT("'Student_Record 1'!O" &amp; ROW())="", "", INDIRECT("'Student_Record 1'!O" &amp; ROW()))</f>
        <v>OBC</v>
      </c>
      <c r="G198" s="11"/>
      <c r="I198" s="11"/>
      <c r="J198" s="11"/>
      <c r="K198" s="11"/>
      <c r="L198" s="11"/>
      <c r="M198" s="11"/>
      <c r="N198" s="11"/>
      <c r="O198" s="11"/>
      <c r="P198" s="11"/>
      <c r="Q198" s="11"/>
    </row>
    <row r="199" spans="1:17" x14ac:dyDescent="0.25">
      <c r="A199" s="8" cm="1">
        <f t="array" aca="1" ref="A199" ca="1">IF(INDIRECT("'Student_Record 1'!A" &amp; ROW())="", "", INDIRECT("'Student_Record 1'!A" &amp; ROW()))</f>
        <v>7</v>
      </c>
      <c r="B199" s="8" cm="1">
        <f t="array" aca="1" ref="B199" ca="1">IF(INDIRECT("'Student_Record 1'!C" &amp; ROW())="", "", INDIRECT("'Student_Record 1'!C" &amp; ROW()))</f>
        <v>860</v>
      </c>
      <c r="C199" s="8" t="str" cm="1">
        <f t="array" aca="1" ref="C199" ca="1">IF(INDIRECT("'Student_Record 1'!E" &amp; ROW())="", "", INDIRECT("'Student_Record 1'!E" &amp; ROW()))</f>
        <v>SURENDRA</v>
      </c>
      <c r="D199" s="8" t="str" cm="1">
        <f t="array" aca="1" ref="D199" ca="1">IF(INDIRECT("'Student_Record 1'!G" &amp; ROW())="", "", INDIRECT("'Student_Record 1'!G" &amp; ROW()))</f>
        <v>SHAITAN JAT</v>
      </c>
      <c r="E199" s="8" t="str" cm="1">
        <f t="array" aca="1" ref="E199" ca="1">IF(INDIRECT("'Student_Record 1'!I" &amp; ROW())="", "", INDIRECT("'Student_Record 1'!I" &amp; ROW()))</f>
        <v>M</v>
      </c>
      <c r="F199" s="8" t="str" cm="1">
        <f t="array" aca="1" ref="F199" ca="1">IF(INDIRECT("'Student_Record 1'!O" &amp; ROW())="", "", INDIRECT("'Student_Record 1'!O" &amp; ROW()))</f>
        <v>OBC</v>
      </c>
      <c r="G199" s="11"/>
      <c r="I199" s="11"/>
      <c r="J199" s="11"/>
      <c r="K199" s="11"/>
      <c r="L199" s="11"/>
      <c r="M199" s="11"/>
      <c r="N199" s="11"/>
      <c r="O199" s="11"/>
      <c r="P199" s="11"/>
      <c r="Q199" s="11"/>
    </row>
    <row r="200" spans="1:17" x14ac:dyDescent="0.25">
      <c r="A200" s="8" cm="1">
        <f t="array" aca="1" ref="A200" ca="1">IF(INDIRECT("'Student_Record 1'!A" &amp; ROW())="", "", INDIRECT("'Student_Record 1'!A" &amp; ROW()))</f>
        <v>7</v>
      </c>
      <c r="B200" s="8" cm="1">
        <f t="array" aca="1" ref="B200" ca="1">IF(INDIRECT("'Student_Record 1'!C" &amp; ROW())="", "", INDIRECT("'Student_Record 1'!C" &amp; ROW()))</f>
        <v>871</v>
      </c>
      <c r="C200" s="8" t="str" cm="1">
        <f t="array" aca="1" ref="C200" ca="1">IF(INDIRECT("'Student_Record 1'!E" &amp; ROW())="", "", INDIRECT("'Student_Record 1'!E" &amp; ROW()))</f>
        <v>VIKAS CHOUDHARY</v>
      </c>
      <c r="D200" s="8" t="str" cm="1">
        <f t="array" aca="1" ref="D200" ca="1">IF(INDIRECT("'Student_Record 1'!G" &amp; ROW())="", "", INDIRECT("'Student_Record 1'!G" &amp; ROW()))</f>
        <v>RAMRATAN CHOUDHARY</v>
      </c>
      <c r="E200" s="8" t="str" cm="1">
        <f t="array" aca="1" ref="E200" ca="1">IF(INDIRECT("'Student_Record 1'!I" &amp; ROW())="", "", INDIRECT("'Student_Record 1'!I" &amp; ROW()))</f>
        <v>M</v>
      </c>
      <c r="F200" s="8" t="str" cm="1">
        <f t="array" aca="1" ref="F200" ca="1">IF(INDIRECT("'Student_Record 1'!O" &amp; ROW())="", "", INDIRECT("'Student_Record 1'!O" &amp; ROW()))</f>
        <v>OBC</v>
      </c>
      <c r="G200" s="11"/>
      <c r="I200" s="11"/>
      <c r="J200" s="11"/>
      <c r="K200" s="11"/>
      <c r="L200" s="11"/>
      <c r="M200" s="11"/>
      <c r="N200" s="11"/>
      <c r="O200" s="11"/>
      <c r="P200" s="11"/>
      <c r="Q200" s="11"/>
    </row>
    <row r="201" spans="1:17" x14ac:dyDescent="0.25">
      <c r="A201" s="8" cm="1">
        <f t="array" aca="1" ref="A201" ca="1">IF(INDIRECT("'Student_Record 1'!A" &amp; ROW())="", "", INDIRECT("'Student_Record 1'!A" &amp; ROW()))</f>
        <v>8</v>
      </c>
      <c r="B201" s="8" cm="1">
        <f t="array" aca="1" ref="B201" ca="1">IF(INDIRECT("'Student_Record 1'!C" &amp; ROW())="", "", INDIRECT("'Student_Record 1'!C" &amp; ROW()))</f>
        <v>797</v>
      </c>
      <c r="C201" s="8" t="str" cm="1">
        <f t="array" aca="1" ref="C201" ca="1">IF(INDIRECT("'Student_Record 1'!E" &amp; ROW())="", "", INDIRECT("'Student_Record 1'!E" &amp; ROW()))</f>
        <v>Abhishek Choudhary</v>
      </c>
      <c r="D201" s="8" t="str" cm="1">
        <f t="array" aca="1" ref="D201" ca="1">IF(INDIRECT("'Student_Record 1'!G" &amp; ROW())="", "", INDIRECT("'Student_Record 1'!G" &amp; ROW()))</f>
        <v>Rajendra</v>
      </c>
      <c r="E201" s="8" t="str" cm="1">
        <f t="array" aca="1" ref="E201" ca="1">IF(INDIRECT("'Student_Record 1'!I" &amp; ROW())="", "", INDIRECT("'Student_Record 1'!I" &amp; ROW()))</f>
        <v>M</v>
      </c>
      <c r="F201" s="8" t="str" cm="1">
        <f t="array" aca="1" ref="F201" ca="1">IF(INDIRECT("'Student_Record 1'!O" &amp; ROW())="", "", INDIRECT("'Student_Record 1'!O" &amp; ROW()))</f>
        <v>OBC</v>
      </c>
      <c r="G201" s="11"/>
      <c r="I201" s="11"/>
      <c r="J201" s="11"/>
      <c r="K201" s="11"/>
      <c r="L201" s="11"/>
      <c r="M201" s="11"/>
      <c r="N201" s="11"/>
      <c r="O201" s="11"/>
      <c r="P201" s="11"/>
      <c r="Q201" s="11"/>
    </row>
    <row r="202" spans="1:17" x14ac:dyDescent="0.25">
      <c r="A202" s="8" cm="1">
        <f t="array" aca="1" ref="A202" ca="1">IF(INDIRECT("'Student_Record 1'!A" &amp; ROW())="", "", INDIRECT("'Student_Record 1'!A" &amp; ROW()))</f>
        <v>8</v>
      </c>
      <c r="B202" s="8" cm="1">
        <f t="array" aca="1" ref="B202" ca="1">IF(INDIRECT("'Student_Record 1'!C" &amp; ROW())="", "", INDIRECT("'Student_Record 1'!C" &amp; ROW()))</f>
        <v>916</v>
      </c>
      <c r="C202" s="8" t="str" cm="1">
        <f t="array" aca="1" ref="C202" ca="1">IF(INDIRECT("'Student_Record 1'!E" &amp; ROW())="", "", INDIRECT("'Student_Record 1'!E" &amp; ROW()))</f>
        <v>Amar Singh Bheel</v>
      </c>
      <c r="D202" s="8" t="str" cm="1">
        <f t="array" aca="1" ref="D202" ca="1">IF(INDIRECT("'Student_Record 1'!G" &amp; ROW())="", "", INDIRECT("'Student_Record 1'!G" &amp; ROW()))</f>
        <v>Premchand Bheel</v>
      </c>
      <c r="E202" s="8" t="str" cm="1">
        <f t="array" aca="1" ref="E202" ca="1">IF(INDIRECT("'Student_Record 1'!I" &amp; ROW())="", "", INDIRECT("'Student_Record 1'!I" &amp; ROW()))</f>
        <v>M</v>
      </c>
      <c r="F202" s="8" t="str" cm="1">
        <f t="array" aca="1" ref="F202" ca="1">IF(INDIRECT("'Student_Record 1'!O" &amp; ROW())="", "", INDIRECT("'Student_Record 1'!O" &amp; ROW()))</f>
        <v>ST</v>
      </c>
      <c r="G202" s="11"/>
      <c r="I202" s="11"/>
      <c r="J202" s="11"/>
      <c r="K202" s="11"/>
      <c r="L202" s="11"/>
      <c r="M202" s="11"/>
      <c r="N202" s="11"/>
      <c r="O202" s="11"/>
      <c r="P202" s="11"/>
      <c r="Q202" s="11"/>
    </row>
    <row r="203" spans="1:17" x14ac:dyDescent="0.25">
      <c r="A203" s="8" cm="1">
        <f t="array" aca="1" ref="A203" ca="1">IF(INDIRECT("'Student_Record 1'!A" &amp; ROW())="", "", INDIRECT("'Student_Record 1'!A" &amp; ROW()))</f>
        <v>8</v>
      </c>
      <c r="B203" s="8" cm="1">
        <f t="array" aca="1" ref="B203" ca="1">IF(INDIRECT("'Student_Record 1'!C" &amp; ROW())="", "", INDIRECT("'Student_Record 1'!C" &amp; ROW()))</f>
        <v>401</v>
      </c>
      <c r="C203" s="8" t="str" cm="1">
        <f t="array" aca="1" ref="C203" ca="1">IF(INDIRECT("'Student_Record 1'!E" &amp; ROW())="", "", INDIRECT("'Student_Record 1'!E" &amp; ROW()))</f>
        <v>ANITA PRAJAPAT</v>
      </c>
      <c r="D203" s="8" t="str" cm="1">
        <f t="array" aca="1" ref="D203" ca="1">IF(INDIRECT("'Student_Record 1'!G" &amp; ROW())="", "", INDIRECT("'Student_Record 1'!G" &amp; ROW()))</f>
        <v>BHAGCHAND PRAJAPAT</v>
      </c>
      <c r="E203" s="8" t="str" cm="1">
        <f t="array" aca="1" ref="E203" ca="1">IF(INDIRECT("'Student_Record 1'!I" &amp; ROW())="", "", INDIRECT("'Student_Record 1'!I" &amp; ROW()))</f>
        <v>F</v>
      </c>
      <c r="F203" s="8" t="str" cm="1">
        <f t="array" aca="1" ref="F203" ca="1">IF(INDIRECT("'Student_Record 1'!O" &amp; ROW())="", "", INDIRECT("'Student_Record 1'!O" &amp; ROW()))</f>
        <v>OBC</v>
      </c>
      <c r="G203" s="11"/>
      <c r="I203" s="11"/>
      <c r="J203" s="11"/>
      <c r="K203" s="11"/>
      <c r="L203" s="11"/>
      <c r="M203" s="11"/>
      <c r="N203" s="11"/>
      <c r="O203" s="11"/>
      <c r="P203" s="11"/>
      <c r="Q203" s="11"/>
    </row>
    <row r="204" spans="1:17" x14ac:dyDescent="0.25">
      <c r="A204" s="8" cm="1">
        <f t="array" aca="1" ref="A204" ca="1">IF(INDIRECT("'Student_Record 1'!A" &amp; ROW())="", "", INDIRECT("'Student_Record 1'!A" &amp; ROW()))</f>
        <v>8</v>
      </c>
      <c r="B204" s="8" cm="1">
        <f t="array" aca="1" ref="B204" ca="1">IF(INDIRECT("'Student_Record 1'!C" &amp; ROW())="", "", INDIRECT("'Student_Record 1'!C" &amp; ROW()))</f>
        <v>497</v>
      </c>
      <c r="C204" s="8" t="str" cm="1">
        <f t="array" aca="1" ref="C204" ca="1">IF(INDIRECT("'Student_Record 1'!E" &amp; ROW())="", "", INDIRECT("'Student_Record 1'!E" &amp; ROW()))</f>
        <v>DAMODAR JAT</v>
      </c>
      <c r="D204" s="8" t="str" cm="1">
        <f t="array" aca="1" ref="D204" ca="1">IF(INDIRECT("'Student_Record 1'!G" &amp; ROW())="", "", INDIRECT("'Student_Record 1'!G" &amp; ROW()))</f>
        <v>KAILASH CHAND JAT</v>
      </c>
      <c r="E204" s="8" t="str" cm="1">
        <f t="array" aca="1" ref="E204" ca="1">IF(INDIRECT("'Student_Record 1'!I" &amp; ROW())="", "", INDIRECT("'Student_Record 1'!I" &amp; ROW()))</f>
        <v>M</v>
      </c>
      <c r="F204" s="8" t="str" cm="1">
        <f t="array" aca="1" ref="F204" ca="1">IF(INDIRECT("'Student_Record 1'!O" &amp; ROW())="", "", INDIRECT("'Student_Record 1'!O" &amp; ROW()))</f>
        <v>OBC</v>
      </c>
      <c r="G204" s="11"/>
      <c r="I204" s="11"/>
      <c r="J204" s="11"/>
      <c r="K204" s="11"/>
      <c r="L204" s="11"/>
      <c r="M204" s="11"/>
      <c r="N204" s="11"/>
      <c r="O204" s="11"/>
      <c r="P204" s="11"/>
      <c r="Q204" s="11"/>
    </row>
    <row r="205" spans="1:17" x14ac:dyDescent="0.25">
      <c r="A205" s="8" cm="1">
        <f t="array" aca="1" ref="A205" ca="1">IF(INDIRECT("'Student_Record 1'!A" &amp; ROW())="", "", INDIRECT("'Student_Record 1'!A" &amp; ROW()))</f>
        <v>8</v>
      </c>
      <c r="B205" s="8" cm="1">
        <f t="array" aca="1" ref="B205" ca="1">IF(INDIRECT("'Student_Record 1'!C" &amp; ROW())="", "", INDIRECT("'Student_Record 1'!C" &amp; ROW()))</f>
        <v>864</v>
      </c>
      <c r="C205" s="8" t="str" cm="1">
        <f t="array" aca="1" ref="C205" ca="1">IF(INDIRECT("'Student_Record 1'!E" &amp; ROW())="", "", INDIRECT("'Student_Record 1'!E" &amp; ROW()))</f>
        <v>Deepak Vaishnav</v>
      </c>
      <c r="D205" s="8" t="str" cm="1">
        <f t="array" aca="1" ref="D205" ca="1">IF(INDIRECT("'Student_Record 1'!G" &amp; ROW())="", "", INDIRECT("'Student_Record 1'!G" &amp; ROW()))</f>
        <v>Satyanarayan Vaishnav</v>
      </c>
      <c r="E205" s="8" t="str" cm="1">
        <f t="array" aca="1" ref="E205" ca="1">IF(INDIRECT("'Student_Record 1'!I" &amp; ROW())="", "", INDIRECT("'Student_Record 1'!I" &amp; ROW()))</f>
        <v>M</v>
      </c>
      <c r="F205" s="8" t="str" cm="1">
        <f t="array" aca="1" ref="F205" ca="1">IF(INDIRECT("'Student_Record 1'!O" &amp; ROW())="", "", INDIRECT("'Student_Record 1'!O" &amp; ROW()))</f>
        <v>OBC</v>
      </c>
      <c r="G205" s="11"/>
      <c r="I205" s="11"/>
      <c r="J205" s="11"/>
      <c r="K205" s="11"/>
      <c r="L205" s="11"/>
      <c r="M205" s="11"/>
      <c r="N205" s="11"/>
      <c r="O205" s="11"/>
      <c r="P205" s="11"/>
      <c r="Q205" s="11"/>
    </row>
    <row r="206" spans="1:17" x14ac:dyDescent="0.25">
      <c r="A206" s="8" cm="1">
        <f t="array" aca="1" ref="A206" ca="1">IF(INDIRECT("'Student_Record 1'!A" &amp; ROW())="", "", INDIRECT("'Student_Record 1'!A" &amp; ROW()))</f>
        <v>8</v>
      </c>
      <c r="B206" s="8" cm="1">
        <f t="array" aca="1" ref="B206" ca="1">IF(INDIRECT("'Student_Record 1'!C" &amp; ROW())="", "", INDIRECT("'Student_Record 1'!C" &amp; ROW()))</f>
        <v>751</v>
      </c>
      <c r="C206" s="8" t="str" cm="1">
        <f t="array" aca="1" ref="C206" ca="1">IF(INDIRECT("'Student_Record 1'!E" &amp; ROW())="", "", INDIRECT("'Student_Record 1'!E" &amp; ROW()))</f>
        <v>HANSA PRAJAPAT</v>
      </c>
      <c r="D206" s="8" t="str" cm="1">
        <f t="array" aca="1" ref="D206" ca="1">IF(INDIRECT("'Student_Record 1'!G" &amp; ROW())="", "", INDIRECT("'Student_Record 1'!G" &amp; ROW()))</f>
        <v>RAMSUKH PRAJAPAT</v>
      </c>
      <c r="E206" s="8" t="str" cm="1">
        <f t="array" aca="1" ref="E206" ca="1">IF(INDIRECT("'Student_Record 1'!I" &amp; ROW())="", "", INDIRECT("'Student_Record 1'!I" &amp; ROW()))</f>
        <v>F</v>
      </c>
      <c r="F206" s="8" t="str" cm="1">
        <f t="array" aca="1" ref="F206" ca="1">IF(INDIRECT("'Student_Record 1'!O" &amp; ROW())="", "", INDIRECT("'Student_Record 1'!O" &amp; ROW()))</f>
        <v>OBC</v>
      </c>
      <c r="G206" s="11"/>
      <c r="I206" s="11"/>
      <c r="J206" s="11"/>
      <c r="K206" s="11"/>
      <c r="L206" s="11"/>
      <c r="M206" s="11"/>
      <c r="N206" s="11"/>
      <c r="O206" s="11"/>
      <c r="P206" s="11"/>
      <c r="Q206" s="11"/>
    </row>
    <row r="207" spans="1:17" x14ac:dyDescent="0.25">
      <c r="A207" s="8" cm="1">
        <f t="array" aca="1" ref="A207" ca="1">IF(INDIRECT("'Student_Record 1'!A" &amp; ROW())="", "", INDIRECT("'Student_Record 1'!A" &amp; ROW()))</f>
        <v>8</v>
      </c>
      <c r="B207" s="8" cm="1">
        <f t="array" aca="1" ref="B207" ca="1">IF(INDIRECT("'Student_Record 1'!C" &amp; ROW())="", "", INDIRECT("'Student_Record 1'!C" &amp; ROW()))</f>
        <v>795</v>
      </c>
      <c r="C207" s="8" t="str" cm="1">
        <f t="array" aca="1" ref="C207" ca="1">IF(INDIRECT("'Student_Record 1'!E" &amp; ROW())="", "", INDIRECT("'Student_Record 1'!E" &amp; ROW()))</f>
        <v>KAMLESH JAT</v>
      </c>
      <c r="D207" s="8" t="str" cm="1">
        <f t="array" aca="1" ref="D207" ca="1">IF(INDIRECT("'Student_Record 1'!G" &amp; ROW())="", "", INDIRECT("'Student_Record 1'!G" &amp; ROW()))</f>
        <v>SHYONARAYAN JAT</v>
      </c>
      <c r="E207" s="8" t="str" cm="1">
        <f t="array" aca="1" ref="E207" ca="1">IF(INDIRECT("'Student_Record 1'!I" &amp; ROW())="", "", INDIRECT("'Student_Record 1'!I" &amp; ROW()))</f>
        <v>F</v>
      </c>
      <c r="F207" s="8" t="str" cm="1">
        <f t="array" aca="1" ref="F207" ca="1">IF(INDIRECT("'Student_Record 1'!O" &amp; ROW())="", "", INDIRECT("'Student_Record 1'!O" &amp; ROW()))</f>
        <v>OBC</v>
      </c>
      <c r="G207" s="11"/>
      <c r="I207" s="11"/>
      <c r="J207" s="11"/>
      <c r="K207" s="11"/>
      <c r="L207" s="11"/>
      <c r="M207" s="11"/>
      <c r="N207" s="11"/>
      <c r="O207" s="11"/>
      <c r="P207" s="11"/>
      <c r="Q207" s="11"/>
    </row>
    <row r="208" spans="1:17" x14ac:dyDescent="0.25">
      <c r="A208" s="8" cm="1">
        <f t="array" aca="1" ref="A208" ca="1">IF(INDIRECT("'Student_Record 1'!A" &amp; ROW())="", "", INDIRECT("'Student_Record 1'!A" &amp; ROW()))</f>
        <v>8</v>
      </c>
      <c r="B208" s="8" cm="1">
        <f t="array" aca="1" ref="B208" ca="1">IF(INDIRECT("'Student_Record 1'!C" &amp; ROW())="", "", INDIRECT("'Student_Record 1'!C" &amp; ROW()))</f>
        <v>892</v>
      </c>
      <c r="C208" s="8" t="str" cm="1">
        <f t="array" aca="1" ref="C208" ca="1">IF(INDIRECT("'Student_Record 1'!E" &amp; ROW())="", "", INDIRECT("'Student_Record 1'!E" &amp; ROW()))</f>
        <v>KAVITA MEGHWANSHI</v>
      </c>
      <c r="D208" s="8" t="str" cm="1">
        <f t="array" aca="1" ref="D208" ca="1">IF(INDIRECT("'Student_Record 1'!G" &amp; ROW())="", "", INDIRECT("'Student_Record 1'!G" &amp; ROW()))</f>
        <v>TEJU RAM</v>
      </c>
      <c r="E208" s="8" t="str" cm="1">
        <f t="array" aca="1" ref="E208" ca="1">IF(INDIRECT("'Student_Record 1'!I" &amp; ROW())="", "", INDIRECT("'Student_Record 1'!I" &amp; ROW()))</f>
        <v>F</v>
      </c>
      <c r="F208" s="8" t="str" cm="1">
        <f t="array" aca="1" ref="F208" ca="1">IF(INDIRECT("'Student_Record 1'!O" &amp; ROW())="", "", INDIRECT("'Student_Record 1'!O" &amp; ROW()))</f>
        <v>SC</v>
      </c>
      <c r="G208" s="11"/>
      <c r="I208" s="11"/>
      <c r="J208" s="11"/>
      <c r="K208" s="11"/>
      <c r="L208" s="11"/>
      <c r="M208" s="11"/>
      <c r="N208" s="11"/>
      <c r="O208" s="11"/>
      <c r="P208" s="11"/>
      <c r="Q208" s="11"/>
    </row>
    <row r="209" spans="1:17" x14ac:dyDescent="0.25">
      <c r="A209" s="8" cm="1">
        <f t="array" aca="1" ref="A209" ca="1">IF(INDIRECT("'Student_Record 1'!A" &amp; ROW())="", "", INDIRECT("'Student_Record 1'!A" &amp; ROW()))</f>
        <v>8</v>
      </c>
      <c r="B209" s="8" cm="1">
        <f t="array" aca="1" ref="B209" ca="1">IF(INDIRECT("'Student_Record 1'!C" &amp; ROW())="", "", INDIRECT("'Student_Record 1'!C" &amp; ROW()))</f>
        <v>778</v>
      </c>
      <c r="C209" s="8" t="str" cm="1">
        <f t="array" aca="1" ref="C209" ca="1">IF(INDIRECT("'Student_Record 1'!E" &amp; ROW())="", "", INDIRECT("'Student_Record 1'!E" &amp; ROW()))</f>
        <v>KHUSHBU DEVI BHEEL</v>
      </c>
      <c r="D209" s="8" t="str" cm="1">
        <f t="array" aca="1" ref="D209" ca="1">IF(INDIRECT("'Student_Record 1'!G" &amp; ROW())="", "", INDIRECT("'Student_Record 1'!G" &amp; ROW()))</f>
        <v>RAJU BHEEL</v>
      </c>
      <c r="E209" s="8" t="str" cm="1">
        <f t="array" aca="1" ref="E209" ca="1">IF(INDIRECT("'Student_Record 1'!I" &amp; ROW())="", "", INDIRECT("'Student_Record 1'!I" &amp; ROW()))</f>
        <v>F</v>
      </c>
      <c r="F209" s="8" t="str" cm="1">
        <f t="array" aca="1" ref="F209" ca="1">IF(INDIRECT("'Student_Record 1'!O" &amp; ROW())="", "", INDIRECT("'Student_Record 1'!O" &amp; ROW()))</f>
        <v>ST</v>
      </c>
      <c r="G209" s="11"/>
      <c r="I209" s="11"/>
      <c r="J209" s="11"/>
      <c r="K209" s="11"/>
      <c r="L209" s="11"/>
      <c r="M209" s="11"/>
      <c r="N209" s="11"/>
      <c r="O209" s="11"/>
      <c r="P209" s="11"/>
      <c r="Q209" s="11"/>
    </row>
    <row r="210" spans="1:17" x14ac:dyDescent="0.25">
      <c r="A210" s="8" cm="1">
        <f t="array" aca="1" ref="A210" ca="1">IF(INDIRECT("'Student_Record 1'!A" &amp; ROW())="", "", INDIRECT("'Student_Record 1'!A" &amp; ROW()))</f>
        <v>8</v>
      </c>
      <c r="B210" s="8" cm="1">
        <f t="array" aca="1" ref="B210" ca="1">IF(INDIRECT("'Student_Record 1'!C" &amp; ROW())="", "", INDIRECT("'Student_Record 1'!C" &amp; ROW()))</f>
        <v>403</v>
      </c>
      <c r="C210" s="8" t="str" cm="1">
        <f t="array" aca="1" ref="C210" ca="1">IF(INDIRECT("'Student_Record 1'!E" &amp; ROW())="", "", INDIRECT("'Student_Record 1'!E" &amp; ROW()))</f>
        <v>KHUSHI RAM JAT</v>
      </c>
      <c r="D210" s="8" t="str" cm="1">
        <f t="array" aca="1" ref="D210" ca="1">IF(INDIRECT("'Student_Record 1'!G" &amp; ROW())="", "", INDIRECT("'Student_Record 1'!G" &amp; ROW()))</f>
        <v>SUKHPAL JAT</v>
      </c>
      <c r="E210" s="8" t="str" cm="1">
        <f t="array" aca="1" ref="E210" ca="1">IF(INDIRECT("'Student_Record 1'!I" &amp; ROW())="", "", INDIRECT("'Student_Record 1'!I" &amp; ROW()))</f>
        <v>M</v>
      </c>
      <c r="F210" s="8" t="str" cm="1">
        <f t="array" aca="1" ref="F210" ca="1">IF(INDIRECT("'Student_Record 1'!O" &amp; ROW())="", "", INDIRECT("'Student_Record 1'!O" &amp; ROW()))</f>
        <v>OBC</v>
      </c>
      <c r="G210" s="11"/>
      <c r="I210" s="11"/>
      <c r="J210" s="11"/>
      <c r="K210" s="11"/>
      <c r="L210" s="11"/>
      <c r="M210" s="11"/>
      <c r="N210" s="11"/>
      <c r="O210" s="11"/>
      <c r="P210" s="11"/>
      <c r="Q210" s="11"/>
    </row>
    <row r="211" spans="1:17" x14ac:dyDescent="0.25">
      <c r="A211" s="8" cm="1">
        <f t="array" aca="1" ref="A211" ca="1">IF(INDIRECT("'Student_Record 1'!A" &amp; ROW())="", "", INDIRECT("'Student_Record 1'!A" &amp; ROW()))</f>
        <v>8</v>
      </c>
      <c r="B211" s="8" cm="1">
        <f t="array" aca="1" ref="B211" ca="1">IF(INDIRECT("'Student_Record 1'!C" &amp; ROW())="", "", INDIRECT("'Student_Record 1'!C" &amp; ROW()))</f>
        <v>850</v>
      </c>
      <c r="C211" s="8" t="str" cm="1">
        <f t="array" aca="1" ref="C211" ca="1">IF(INDIRECT("'Student_Record 1'!E" &amp; ROW())="", "", INDIRECT("'Student_Record 1'!E" &amp; ROW()))</f>
        <v>KIRAN CHOUDHARY</v>
      </c>
      <c r="D211" s="8" t="str" cm="1">
        <f t="array" aca="1" ref="D211" ca="1">IF(INDIRECT("'Student_Record 1'!G" &amp; ROW())="", "", INDIRECT("'Student_Record 1'!G" &amp; ROW()))</f>
        <v>SARDAR CHOUDHARY</v>
      </c>
      <c r="E211" s="8" t="str" cm="1">
        <f t="array" aca="1" ref="E211" ca="1">IF(INDIRECT("'Student_Record 1'!I" &amp; ROW())="", "", INDIRECT("'Student_Record 1'!I" &amp; ROW()))</f>
        <v>F</v>
      </c>
      <c r="F211" s="8" t="str" cm="1">
        <f t="array" aca="1" ref="F211" ca="1">IF(INDIRECT("'Student_Record 1'!O" &amp; ROW())="", "", INDIRECT("'Student_Record 1'!O" &amp; ROW()))</f>
        <v>OBC</v>
      </c>
      <c r="G211" s="11"/>
      <c r="I211" s="11"/>
      <c r="J211" s="11"/>
      <c r="K211" s="11"/>
      <c r="L211" s="11"/>
      <c r="M211" s="11"/>
      <c r="N211" s="11"/>
      <c r="O211" s="11"/>
      <c r="P211" s="11"/>
      <c r="Q211" s="11"/>
    </row>
    <row r="212" spans="1:17" x14ac:dyDescent="0.25">
      <c r="A212" s="8" cm="1">
        <f t="array" aca="1" ref="A212" ca="1">IF(INDIRECT("'Student_Record 1'!A" &amp; ROW())="", "", INDIRECT("'Student_Record 1'!A" &amp; ROW()))</f>
        <v>8</v>
      </c>
      <c r="B212" s="8" cm="1">
        <f t="array" aca="1" ref="B212" ca="1">IF(INDIRECT("'Student_Record 1'!C" &amp; ROW())="", "", INDIRECT("'Student_Record 1'!C" &amp; ROW()))</f>
        <v>775</v>
      </c>
      <c r="C212" s="8" t="str" cm="1">
        <f t="array" aca="1" ref="C212" ca="1">IF(INDIRECT("'Student_Record 1'!E" &amp; ROW())="", "", INDIRECT("'Student_Record 1'!E" &amp; ROW()))</f>
        <v>KISMAT DEVI BHEEL</v>
      </c>
      <c r="D212" s="8" t="str" cm="1">
        <f t="array" aca="1" ref="D212" ca="1">IF(INDIRECT("'Student_Record 1'!G" &amp; ROW())="", "", INDIRECT("'Student_Record 1'!G" &amp; ROW()))</f>
        <v>SHAITAN BHEEL</v>
      </c>
      <c r="E212" s="8" t="str" cm="1">
        <f t="array" aca="1" ref="E212" ca="1">IF(INDIRECT("'Student_Record 1'!I" &amp; ROW())="", "", INDIRECT("'Student_Record 1'!I" &amp; ROW()))</f>
        <v>F</v>
      </c>
      <c r="F212" s="8" t="str" cm="1">
        <f t="array" aca="1" ref="F212" ca="1">IF(INDIRECT("'Student_Record 1'!O" &amp; ROW())="", "", INDIRECT("'Student_Record 1'!O" &amp; ROW()))</f>
        <v>ST</v>
      </c>
      <c r="G212" s="11"/>
      <c r="I212" s="11"/>
      <c r="J212" s="11"/>
      <c r="K212" s="11"/>
      <c r="L212" s="11"/>
      <c r="M212" s="11"/>
      <c r="N212" s="11"/>
      <c r="O212" s="11"/>
      <c r="P212" s="11"/>
      <c r="Q212" s="11"/>
    </row>
    <row r="213" spans="1:17" x14ac:dyDescent="0.25">
      <c r="A213" s="8" cm="1">
        <f t="array" aca="1" ref="A213" ca="1">IF(INDIRECT("'Student_Record 1'!A" &amp; ROW())="", "", INDIRECT("'Student_Record 1'!A" &amp; ROW()))</f>
        <v>8</v>
      </c>
      <c r="B213" s="8" cm="1">
        <f t="array" aca="1" ref="B213" ca="1">IF(INDIRECT("'Student_Record 1'!C" &amp; ROW())="", "", INDIRECT("'Student_Record 1'!C" &amp; ROW()))</f>
        <v>790</v>
      </c>
      <c r="C213" s="8" t="str" cm="1">
        <f t="array" aca="1" ref="C213" ca="1">IF(INDIRECT("'Student_Record 1'!E" &amp; ROW())="", "", INDIRECT("'Student_Record 1'!E" &amp; ROW()))</f>
        <v>KOMAL</v>
      </c>
      <c r="D213" s="8" t="str" cm="1">
        <f t="array" aca="1" ref="D213" ca="1">IF(INDIRECT("'Student_Record 1'!G" &amp; ROW())="", "", INDIRECT("'Student_Record 1'!G" &amp; ROW()))</f>
        <v>PARMESHWAR</v>
      </c>
      <c r="E213" s="8" t="str" cm="1">
        <f t="array" aca="1" ref="E213" ca="1">IF(INDIRECT("'Student_Record 1'!I" &amp; ROW())="", "", INDIRECT("'Student_Record 1'!I" &amp; ROW()))</f>
        <v>F</v>
      </c>
      <c r="F213" s="8" t="str" cm="1">
        <f t="array" aca="1" ref="F213" ca="1">IF(INDIRECT("'Student_Record 1'!O" &amp; ROW())="", "", INDIRECT("'Student_Record 1'!O" &amp; ROW()))</f>
        <v>OBC</v>
      </c>
      <c r="G213" s="11"/>
      <c r="I213" s="11"/>
      <c r="J213" s="11"/>
      <c r="K213" s="11"/>
      <c r="L213" s="11"/>
      <c r="M213" s="11"/>
      <c r="N213" s="11"/>
      <c r="O213" s="11"/>
      <c r="P213" s="11"/>
      <c r="Q213" s="11"/>
    </row>
    <row r="214" spans="1:17" x14ac:dyDescent="0.25">
      <c r="A214" s="8" cm="1">
        <f t="array" aca="1" ref="A214" ca="1">IF(INDIRECT("'Student_Record 1'!A" &amp; ROW())="", "", INDIRECT("'Student_Record 1'!A" &amp; ROW()))</f>
        <v>8</v>
      </c>
      <c r="B214" s="8" cm="1">
        <f t="array" aca="1" ref="B214" ca="1">IF(INDIRECT("'Student_Record 1'!C" &amp; ROW())="", "", INDIRECT("'Student_Record 1'!C" &amp; ROW()))</f>
        <v>792</v>
      </c>
      <c r="C214" s="8" t="str" cm="1">
        <f t="array" aca="1" ref="C214" ca="1">IF(INDIRECT("'Student_Record 1'!E" &amp; ROW())="", "", INDIRECT("'Student_Record 1'!E" &amp; ROW()))</f>
        <v>KOMAL</v>
      </c>
      <c r="D214" s="8" t="str" cm="1">
        <f t="array" aca="1" ref="D214" ca="1">IF(INDIRECT("'Student_Record 1'!G" &amp; ROW())="", "", INDIRECT("'Student_Record 1'!G" &amp; ROW()))</f>
        <v>SANWAR LAL</v>
      </c>
      <c r="E214" s="8" t="str" cm="1">
        <f t="array" aca="1" ref="E214" ca="1">IF(INDIRECT("'Student_Record 1'!I" &amp; ROW())="", "", INDIRECT("'Student_Record 1'!I" &amp; ROW()))</f>
        <v>F</v>
      </c>
      <c r="F214" s="8" t="str" cm="1">
        <f t="array" aca="1" ref="F214" ca="1">IF(INDIRECT("'Student_Record 1'!O" &amp; ROW())="", "", INDIRECT("'Student_Record 1'!O" &amp; ROW()))</f>
        <v>OBC</v>
      </c>
      <c r="G214" s="11"/>
      <c r="I214" s="11"/>
      <c r="J214" s="11"/>
      <c r="K214" s="11"/>
      <c r="L214" s="11"/>
      <c r="M214" s="11"/>
      <c r="N214" s="11"/>
      <c r="O214" s="11"/>
      <c r="P214" s="11"/>
      <c r="Q214" s="11"/>
    </row>
    <row r="215" spans="1:17" x14ac:dyDescent="0.25">
      <c r="A215" s="8" cm="1">
        <f t="array" aca="1" ref="A215" ca="1">IF(INDIRECT("'Student_Record 1'!A" &amp; ROW())="", "", INDIRECT("'Student_Record 1'!A" &amp; ROW()))</f>
        <v>8</v>
      </c>
      <c r="B215" s="8" cm="1">
        <f t="array" aca="1" ref="B215" ca="1">IF(INDIRECT("'Student_Record 1'!C" &amp; ROW())="", "", INDIRECT("'Student_Record 1'!C" &amp; ROW()))</f>
        <v>583</v>
      </c>
      <c r="C215" s="8" t="str" cm="1">
        <f t="array" aca="1" ref="C215" ca="1">IF(INDIRECT("'Student_Record 1'!E" &amp; ROW())="", "", INDIRECT("'Student_Record 1'!E" &amp; ROW()))</f>
        <v>KRISHNA HARIJAN</v>
      </c>
      <c r="D215" s="8" t="str" cm="1">
        <f t="array" aca="1" ref="D215" ca="1">IF(INDIRECT("'Student_Record 1'!G" &amp; ROW())="", "", INDIRECT("'Student_Record 1'!G" &amp; ROW()))</f>
        <v>PANKAJ HARIJAN</v>
      </c>
      <c r="E215" s="8" t="str" cm="1">
        <f t="array" aca="1" ref="E215" ca="1">IF(INDIRECT("'Student_Record 1'!I" &amp; ROW())="", "", INDIRECT("'Student_Record 1'!I" &amp; ROW()))</f>
        <v>M</v>
      </c>
      <c r="F215" s="8" t="str" cm="1">
        <f t="array" aca="1" ref="F215" ca="1">IF(INDIRECT("'Student_Record 1'!O" &amp; ROW())="", "", INDIRECT("'Student_Record 1'!O" &amp; ROW()))</f>
        <v>SC</v>
      </c>
      <c r="G215" s="11"/>
      <c r="I215" s="11"/>
      <c r="J215" s="11"/>
      <c r="K215" s="11"/>
      <c r="L215" s="11"/>
      <c r="M215" s="11"/>
      <c r="N215" s="11"/>
      <c r="O215" s="11"/>
      <c r="P215" s="11"/>
      <c r="Q215" s="11"/>
    </row>
    <row r="216" spans="1:17" x14ac:dyDescent="0.25">
      <c r="A216" s="8" cm="1">
        <f t="array" aca="1" ref="A216" ca="1">IF(INDIRECT("'Student_Record 1'!A" &amp; ROW())="", "", INDIRECT("'Student_Record 1'!A" &amp; ROW()))</f>
        <v>8</v>
      </c>
      <c r="B216" s="8" cm="1">
        <f t="array" aca="1" ref="B216" ca="1">IF(INDIRECT("'Student_Record 1'!C" &amp; ROW())="", "", INDIRECT("'Student_Record 1'!C" &amp; ROW()))</f>
        <v>670</v>
      </c>
      <c r="C216" s="8" t="str" cm="1">
        <f t="array" aca="1" ref="C216" ca="1">IF(INDIRECT("'Student_Record 1'!E" &amp; ROW())="", "", INDIRECT("'Student_Record 1'!E" &amp; ROW()))</f>
        <v>Lokesh</v>
      </c>
      <c r="D216" s="8" t="str" cm="1">
        <f t="array" aca="1" ref="D216" ca="1">IF(INDIRECT("'Student_Record 1'!G" &amp; ROW())="", "", INDIRECT("'Student_Record 1'!G" &amp; ROW()))</f>
        <v>Basram</v>
      </c>
      <c r="E216" s="8" t="str" cm="1">
        <f t="array" aca="1" ref="E216" ca="1">IF(INDIRECT("'Student_Record 1'!I" &amp; ROW())="", "", INDIRECT("'Student_Record 1'!I" &amp; ROW()))</f>
        <v>M</v>
      </c>
      <c r="F216" s="8" t="str" cm="1">
        <f t="array" aca="1" ref="F216" ca="1">IF(INDIRECT("'Student_Record 1'!O" &amp; ROW())="", "", INDIRECT("'Student_Record 1'!O" &amp; ROW()))</f>
        <v>OBC</v>
      </c>
      <c r="G216" s="11"/>
      <c r="I216" s="11"/>
      <c r="J216" s="11"/>
      <c r="K216" s="11"/>
      <c r="L216" s="11"/>
      <c r="M216" s="11"/>
      <c r="N216" s="11"/>
      <c r="O216" s="11"/>
      <c r="P216" s="11"/>
      <c r="Q216" s="11"/>
    </row>
    <row r="217" spans="1:17" x14ac:dyDescent="0.25">
      <c r="A217" s="8" cm="1">
        <f t="array" aca="1" ref="A217" ca="1">IF(INDIRECT("'Student_Record 1'!A" &amp; ROW())="", "", INDIRECT("'Student_Record 1'!A" &amp; ROW()))</f>
        <v>8</v>
      </c>
      <c r="B217" s="8" cm="1">
        <f t="array" aca="1" ref="B217" ca="1">IF(INDIRECT("'Student_Record 1'!C" &amp; ROW())="", "", INDIRECT("'Student_Record 1'!C" &amp; ROW()))</f>
        <v>404</v>
      </c>
      <c r="C217" s="8" t="str" cm="1">
        <f t="array" aca="1" ref="C217" ca="1">IF(INDIRECT("'Student_Record 1'!E" &amp; ROW())="", "", INDIRECT("'Student_Record 1'!E" &amp; ROW()))</f>
        <v>LOKESH PRAJAPAT</v>
      </c>
      <c r="D217" s="8" t="str" cm="1">
        <f t="array" aca="1" ref="D217" ca="1">IF(INDIRECT("'Student_Record 1'!G" &amp; ROW())="", "", INDIRECT("'Student_Record 1'!G" &amp; ROW()))</f>
        <v>KAILASH PRAJAPAT</v>
      </c>
      <c r="E217" s="8" t="str" cm="1">
        <f t="array" aca="1" ref="E217" ca="1">IF(INDIRECT("'Student_Record 1'!I" &amp; ROW())="", "", INDIRECT("'Student_Record 1'!I" &amp; ROW()))</f>
        <v>M</v>
      </c>
      <c r="F217" s="8" t="str" cm="1">
        <f t="array" aca="1" ref="F217" ca="1">IF(INDIRECT("'Student_Record 1'!O" &amp; ROW())="", "", INDIRECT("'Student_Record 1'!O" &amp; ROW()))</f>
        <v>OBC</v>
      </c>
      <c r="G217" s="11"/>
      <c r="I217" s="11"/>
      <c r="J217" s="11"/>
      <c r="K217" s="11"/>
      <c r="L217" s="11"/>
      <c r="M217" s="11"/>
      <c r="N217" s="11"/>
      <c r="O217" s="11"/>
      <c r="P217" s="11"/>
      <c r="Q217" s="11"/>
    </row>
    <row r="218" spans="1:17" x14ac:dyDescent="0.25">
      <c r="A218" s="8" cm="1">
        <f t="array" aca="1" ref="A218" ca="1">IF(INDIRECT("'Student_Record 1'!A" &amp; ROW())="", "", INDIRECT("'Student_Record 1'!A" &amp; ROW()))</f>
        <v>8</v>
      </c>
      <c r="B218" s="8" cm="1">
        <f t="array" aca="1" ref="B218" ca="1">IF(INDIRECT("'Student_Record 1'!C" &amp; ROW())="", "", INDIRECT("'Student_Record 1'!C" &amp; ROW()))</f>
        <v>638</v>
      </c>
      <c r="C218" s="8" t="str" cm="1">
        <f t="array" aca="1" ref="C218" ca="1">IF(INDIRECT("'Student_Record 1'!E" &amp; ROW())="", "", INDIRECT("'Student_Record 1'!E" &amp; ROW()))</f>
        <v>Mahendra</v>
      </c>
      <c r="D218" s="8" t="str" cm="1">
        <f t="array" aca="1" ref="D218" ca="1">IF(INDIRECT("'Student_Record 1'!G" &amp; ROW())="", "", INDIRECT("'Student_Record 1'!G" &amp; ROW()))</f>
        <v>Ramesh</v>
      </c>
      <c r="E218" s="8" t="str" cm="1">
        <f t="array" aca="1" ref="E218" ca="1">IF(INDIRECT("'Student_Record 1'!I" &amp; ROW())="", "", INDIRECT("'Student_Record 1'!I" &amp; ROW()))</f>
        <v>M</v>
      </c>
      <c r="F218" s="8" t="str" cm="1">
        <f t="array" aca="1" ref="F218" ca="1">IF(INDIRECT("'Student_Record 1'!O" &amp; ROW())="", "", INDIRECT("'Student_Record 1'!O" &amp; ROW()))</f>
        <v>OBC</v>
      </c>
      <c r="G218" s="11"/>
      <c r="I218" s="11"/>
      <c r="J218" s="11"/>
      <c r="K218" s="11"/>
      <c r="L218" s="11"/>
      <c r="M218" s="11"/>
      <c r="N218" s="11"/>
      <c r="O218" s="11"/>
      <c r="P218" s="11"/>
      <c r="Q218" s="11"/>
    </row>
    <row r="219" spans="1:17" x14ac:dyDescent="0.25">
      <c r="A219" s="8" cm="1">
        <f t="array" aca="1" ref="A219" ca="1">IF(INDIRECT("'Student_Record 1'!A" &amp; ROW())="", "", INDIRECT("'Student_Record 1'!A" &amp; ROW()))</f>
        <v>8</v>
      </c>
      <c r="B219" s="8" cm="1">
        <f t="array" aca="1" ref="B219" ca="1">IF(INDIRECT("'Student_Record 1'!C" &amp; ROW())="", "", INDIRECT("'Student_Record 1'!C" &amp; ROW()))</f>
        <v>375</v>
      </c>
      <c r="C219" s="8" t="str" cm="1">
        <f t="array" aca="1" ref="C219" ca="1">IF(INDIRECT("'Student_Record 1'!E" &amp; ROW())="", "", INDIRECT("'Student_Record 1'!E" &amp; ROW()))</f>
        <v>MAMATA JAT</v>
      </c>
      <c r="D219" s="8" t="str" cm="1">
        <f t="array" aca="1" ref="D219" ca="1">IF(INDIRECT("'Student_Record 1'!G" &amp; ROW())="", "", INDIRECT("'Student_Record 1'!G" &amp; ROW()))</f>
        <v>LALA RAM JAT</v>
      </c>
      <c r="E219" s="8" t="str" cm="1">
        <f t="array" aca="1" ref="E219" ca="1">IF(INDIRECT("'Student_Record 1'!I" &amp; ROW())="", "", INDIRECT("'Student_Record 1'!I" &amp; ROW()))</f>
        <v>F</v>
      </c>
      <c r="F219" s="8" t="str" cm="1">
        <f t="array" aca="1" ref="F219" ca="1">IF(INDIRECT("'Student_Record 1'!O" &amp; ROW())="", "", INDIRECT("'Student_Record 1'!O" &amp; ROW()))</f>
        <v>OBC</v>
      </c>
      <c r="G219" s="11"/>
      <c r="I219" s="11"/>
      <c r="J219" s="11"/>
      <c r="K219" s="11"/>
      <c r="L219" s="11"/>
      <c r="M219" s="11"/>
      <c r="N219" s="11"/>
      <c r="O219" s="11"/>
      <c r="P219" s="11"/>
      <c r="Q219" s="11"/>
    </row>
    <row r="220" spans="1:17" x14ac:dyDescent="0.25">
      <c r="A220" s="8" cm="1">
        <f t="array" aca="1" ref="A220" ca="1">IF(INDIRECT("'Student_Record 1'!A" &amp; ROW())="", "", INDIRECT("'Student_Record 1'!A" &amp; ROW()))</f>
        <v>8</v>
      </c>
      <c r="B220" s="8" cm="1">
        <f t="array" aca="1" ref="B220" ca="1">IF(INDIRECT("'Student_Record 1'!C" &amp; ROW())="", "", INDIRECT("'Student_Record 1'!C" &amp; ROW()))</f>
        <v>918</v>
      </c>
      <c r="C220" s="8" t="str" cm="1">
        <f t="array" aca="1" ref="C220" ca="1">IF(INDIRECT("'Student_Record 1'!E" &amp; ROW())="", "", INDIRECT("'Student_Record 1'!E" &amp; ROW()))</f>
        <v>MAYA DEVI BHEEL</v>
      </c>
      <c r="D220" s="8" t="str" cm="1">
        <f t="array" aca="1" ref="D220" ca="1">IF(INDIRECT("'Student_Record 1'!G" &amp; ROW())="", "", INDIRECT("'Student_Record 1'!G" &amp; ROW()))</f>
        <v>FATEHRAM BHEEL</v>
      </c>
      <c r="E220" s="8" t="str" cm="1">
        <f t="array" aca="1" ref="E220" ca="1">IF(INDIRECT("'Student_Record 1'!I" &amp; ROW())="", "", INDIRECT("'Student_Record 1'!I" &amp; ROW()))</f>
        <v>F</v>
      </c>
      <c r="F220" s="8" t="str" cm="1">
        <f t="array" aca="1" ref="F220" ca="1">IF(INDIRECT("'Student_Record 1'!O" &amp; ROW())="", "", INDIRECT("'Student_Record 1'!O" &amp; ROW()))</f>
        <v>ST</v>
      </c>
      <c r="G220" s="11"/>
      <c r="I220" s="11"/>
      <c r="J220" s="11"/>
      <c r="K220" s="11"/>
      <c r="L220" s="11"/>
      <c r="M220" s="11"/>
      <c r="N220" s="11"/>
      <c r="O220" s="11"/>
      <c r="P220" s="11"/>
      <c r="Q220" s="11"/>
    </row>
    <row r="221" spans="1:17" x14ac:dyDescent="0.25">
      <c r="A221" s="8" cm="1">
        <f t="array" aca="1" ref="A221" ca="1">IF(INDIRECT("'Student_Record 1'!A" &amp; ROW())="", "", INDIRECT("'Student_Record 1'!A" &amp; ROW()))</f>
        <v>8</v>
      </c>
      <c r="B221" s="8" cm="1">
        <f t="array" aca="1" ref="B221" ca="1">IF(INDIRECT("'Student_Record 1'!C" &amp; ROW())="", "", INDIRECT("'Student_Record 1'!C" &amp; ROW()))</f>
        <v>574</v>
      </c>
      <c r="C221" s="8" t="str" cm="1">
        <f t="array" aca="1" ref="C221" ca="1">IF(INDIRECT("'Student_Record 1'!E" &amp; ROW())="", "", INDIRECT("'Student_Record 1'!E" &amp; ROW()))</f>
        <v>NEELU CHOUDHARY</v>
      </c>
      <c r="D221" s="8" t="str" cm="1">
        <f t="array" aca="1" ref="D221" ca="1">IF(INDIRECT("'Student_Record 1'!G" &amp; ROW())="", "", INDIRECT("'Student_Record 1'!G" &amp; ROW()))</f>
        <v>RAMCHANDRA JAT</v>
      </c>
      <c r="E221" s="8" t="str" cm="1">
        <f t="array" aca="1" ref="E221" ca="1">IF(INDIRECT("'Student_Record 1'!I" &amp; ROW())="", "", INDIRECT("'Student_Record 1'!I" &amp; ROW()))</f>
        <v>F</v>
      </c>
      <c r="F221" s="8" t="str" cm="1">
        <f t="array" aca="1" ref="F221" ca="1">IF(INDIRECT("'Student_Record 1'!O" &amp; ROW())="", "", INDIRECT("'Student_Record 1'!O" &amp; ROW()))</f>
        <v>OBC</v>
      </c>
      <c r="G221" s="11"/>
      <c r="I221" s="11"/>
      <c r="J221" s="11"/>
      <c r="K221" s="11"/>
      <c r="L221" s="11"/>
      <c r="M221" s="11"/>
      <c r="N221" s="11"/>
      <c r="O221" s="11"/>
      <c r="P221" s="11"/>
      <c r="Q221" s="11"/>
    </row>
    <row r="222" spans="1:17" x14ac:dyDescent="0.25">
      <c r="A222" s="8" cm="1">
        <f t="array" aca="1" ref="A222" ca="1">IF(INDIRECT("'Student_Record 1'!A" &amp; ROW())="", "", INDIRECT("'Student_Record 1'!A" &amp; ROW()))</f>
        <v>8</v>
      </c>
      <c r="B222" s="8" cm="1">
        <f t="array" aca="1" ref="B222" ca="1">IF(INDIRECT("'Student_Record 1'!C" &amp; ROW())="", "", INDIRECT("'Student_Record 1'!C" &amp; ROW()))</f>
        <v>897</v>
      </c>
      <c r="C222" s="8" t="str" cm="1">
        <f t="array" aca="1" ref="C222" ca="1">IF(INDIRECT("'Student_Record 1'!E" &amp; ROW())="", "", INDIRECT("'Student_Record 1'!E" &amp; ROW()))</f>
        <v>Neetu Prajapat</v>
      </c>
      <c r="D222" s="8" t="str" cm="1">
        <f t="array" aca="1" ref="D222" ca="1">IF(INDIRECT("'Student_Record 1'!G" &amp; ROW())="", "", INDIRECT("'Student_Record 1'!G" &amp; ROW()))</f>
        <v>Ramlal Prajapat</v>
      </c>
      <c r="E222" s="8" t="str" cm="1">
        <f t="array" aca="1" ref="E222" ca="1">IF(INDIRECT("'Student_Record 1'!I" &amp; ROW())="", "", INDIRECT("'Student_Record 1'!I" &amp; ROW()))</f>
        <v>F</v>
      </c>
      <c r="F222" s="8" t="str" cm="1">
        <f t="array" aca="1" ref="F222" ca="1">IF(INDIRECT("'Student_Record 1'!O" &amp; ROW())="", "", INDIRECT("'Student_Record 1'!O" &amp; ROW()))</f>
        <v>OBC</v>
      </c>
      <c r="G222" s="11"/>
      <c r="I222" s="11"/>
      <c r="J222" s="11"/>
      <c r="K222" s="11"/>
      <c r="L222" s="11"/>
      <c r="M222" s="11"/>
      <c r="N222" s="11"/>
      <c r="O222" s="11"/>
      <c r="P222" s="11"/>
      <c r="Q222" s="11"/>
    </row>
    <row r="223" spans="1:17" x14ac:dyDescent="0.25">
      <c r="A223" s="8" cm="1">
        <f t="array" aca="1" ref="A223" ca="1">IF(INDIRECT("'Student_Record 1'!A" &amp; ROW())="", "", INDIRECT("'Student_Record 1'!A" &amp; ROW()))</f>
        <v>8</v>
      </c>
      <c r="B223" s="8" cm="1">
        <f t="array" aca="1" ref="B223" ca="1">IF(INDIRECT("'Student_Record 1'!C" &amp; ROW())="", "", INDIRECT("'Student_Record 1'!C" &amp; ROW()))</f>
        <v>890</v>
      </c>
      <c r="C223" s="8" t="str" cm="1">
        <f t="array" aca="1" ref="C223" ca="1">IF(INDIRECT("'Student_Record 1'!E" &amp; ROW())="", "", INDIRECT("'Student_Record 1'!E" &amp; ROW()))</f>
        <v>NISHA JAT</v>
      </c>
      <c r="D223" s="8" t="str" cm="1">
        <f t="array" aca="1" ref="D223" ca="1">IF(INDIRECT("'Student_Record 1'!G" &amp; ROW())="", "", INDIRECT("'Student_Record 1'!G" &amp; ROW()))</f>
        <v>KARTAR JAT</v>
      </c>
      <c r="E223" s="8" t="str" cm="1">
        <f t="array" aca="1" ref="E223" ca="1">IF(INDIRECT("'Student_Record 1'!I" &amp; ROW())="", "", INDIRECT("'Student_Record 1'!I" &amp; ROW()))</f>
        <v>F</v>
      </c>
      <c r="F223" s="8" t="str" cm="1">
        <f t="array" aca="1" ref="F223" ca="1">IF(INDIRECT("'Student_Record 1'!O" &amp; ROW())="", "", INDIRECT("'Student_Record 1'!O" &amp; ROW()))</f>
        <v>OBC</v>
      </c>
      <c r="G223" s="11"/>
      <c r="I223" s="11"/>
      <c r="J223" s="11"/>
      <c r="K223" s="11"/>
      <c r="L223" s="11"/>
      <c r="M223" s="11"/>
      <c r="N223" s="11"/>
      <c r="O223" s="11"/>
      <c r="P223" s="11"/>
      <c r="Q223" s="11"/>
    </row>
    <row r="224" spans="1:17" x14ac:dyDescent="0.25">
      <c r="A224" s="8" cm="1">
        <f t="array" aca="1" ref="A224" ca="1">IF(INDIRECT("'Student_Record 1'!A" &amp; ROW())="", "", INDIRECT("'Student_Record 1'!A" &amp; ROW()))</f>
        <v>8</v>
      </c>
      <c r="B224" s="8" cm="1">
        <f t="array" aca="1" ref="B224" ca="1">IF(INDIRECT("'Student_Record 1'!C" &amp; ROW())="", "", INDIRECT("'Student_Record 1'!C" &amp; ROW()))</f>
        <v>444</v>
      </c>
      <c r="C224" s="8" t="str" cm="1">
        <f t="array" aca="1" ref="C224" ca="1">IF(INDIRECT("'Student_Record 1'!E" &amp; ROW())="", "", INDIRECT("'Student_Record 1'!E" &amp; ROW()))</f>
        <v>PAWAN PRAJAPAT</v>
      </c>
      <c r="D224" s="8" t="str" cm="1">
        <f t="array" aca="1" ref="D224" ca="1">IF(INDIRECT("'Student_Record 1'!G" &amp; ROW())="", "", INDIRECT("'Student_Record 1'!G" &amp; ROW()))</f>
        <v>PARASRAM PRAJAPAT</v>
      </c>
      <c r="E224" s="8" t="str" cm="1">
        <f t="array" aca="1" ref="E224" ca="1">IF(INDIRECT("'Student_Record 1'!I" &amp; ROW())="", "", INDIRECT("'Student_Record 1'!I" &amp; ROW()))</f>
        <v>M</v>
      </c>
      <c r="F224" s="8" t="str" cm="1">
        <f t="array" aca="1" ref="F224" ca="1">IF(INDIRECT("'Student_Record 1'!O" &amp; ROW())="", "", INDIRECT("'Student_Record 1'!O" &amp; ROW()))</f>
        <v>OBC</v>
      </c>
      <c r="G224" s="11"/>
      <c r="I224" s="11"/>
      <c r="J224" s="11"/>
      <c r="K224" s="11"/>
      <c r="L224" s="11"/>
      <c r="M224" s="11"/>
      <c r="N224" s="11"/>
      <c r="O224" s="11"/>
      <c r="P224" s="11"/>
      <c r="Q224" s="11"/>
    </row>
    <row r="225" spans="1:17" x14ac:dyDescent="0.25">
      <c r="A225" s="8" cm="1">
        <f t="array" aca="1" ref="A225" ca="1">IF(INDIRECT("'Student_Record 1'!A" &amp; ROW())="", "", INDIRECT("'Student_Record 1'!A" &amp; ROW()))</f>
        <v>8</v>
      </c>
      <c r="B225" s="8" cm="1">
        <f t="array" aca="1" ref="B225" ca="1">IF(INDIRECT("'Student_Record 1'!C" &amp; ROW())="", "", INDIRECT("'Student_Record 1'!C" &amp; ROW()))</f>
        <v>405</v>
      </c>
      <c r="C225" s="8" t="str" cm="1">
        <f t="array" aca="1" ref="C225" ca="1">IF(INDIRECT("'Student_Record 1'!E" &amp; ROW())="", "", INDIRECT("'Student_Record 1'!E" &amp; ROW()))</f>
        <v>POOJA PRAJAPAT</v>
      </c>
      <c r="D225" s="8" t="str" cm="1">
        <f t="array" aca="1" ref="D225" ca="1">IF(INDIRECT("'Student_Record 1'!G" &amp; ROW())="", "", INDIRECT("'Student_Record 1'!G" &amp; ROW()))</f>
        <v>SANWARA PRAJAPAT</v>
      </c>
      <c r="E225" s="8" t="str" cm="1">
        <f t="array" aca="1" ref="E225" ca="1">IF(INDIRECT("'Student_Record 1'!I" &amp; ROW())="", "", INDIRECT("'Student_Record 1'!I" &amp; ROW()))</f>
        <v>F</v>
      </c>
      <c r="F225" s="8" t="str" cm="1">
        <f t="array" aca="1" ref="F225" ca="1">IF(INDIRECT("'Student_Record 1'!O" &amp; ROW())="", "", INDIRECT("'Student_Record 1'!O" &amp; ROW()))</f>
        <v>OBC</v>
      </c>
      <c r="G225" s="11"/>
      <c r="I225" s="11"/>
      <c r="J225" s="11"/>
      <c r="K225" s="11"/>
      <c r="L225" s="11"/>
      <c r="M225" s="11"/>
      <c r="N225" s="11"/>
      <c r="O225" s="11"/>
      <c r="P225" s="11"/>
      <c r="Q225" s="11"/>
    </row>
    <row r="226" spans="1:17" x14ac:dyDescent="0.25">
      <c r="A226" s="8" cm="1">
        <f t="array" aca="1" ref="A226" ca="1">IF(INDIRECT("'Student_Record 1'!A" &amp; ROW())="", "", INDIRECT("'Student_Record 1'!A" &amp; ROW()))</f>
        <v>8</v>
      </c>
      <c r="B226" s="8" cm="1">
        <f t="array" aca="1" ref="B226" ca="1">IF(INDIRECT("'Student_Record 1'!C" &amp; ROW())="", "", INDIRECT("'Student_Record 1'!C" &amp; ROW()))</f>
        <v>451</v>
      </c>
      <c r="C226" s="8" t="str" cm="1">
        <f t="array" aca="1" ref="C226" ca="1">IF(INDIRECT("'Student_Record 1'!E" &amp; ROW())="", "", INDIRECT("'Student_Record 1'!E" &amp; ROW()))</f>
        <v>POOJA PRAJAPAT</v>
      </c>
      <c r="D226" s="8" t="str" cm="1">
        <f t="array" aca="1" ref="D226" ca="1">IF(INDIRECT("'Student_Record 1'!G" &amp; ROW())="", "", INDIRECT("'Student_Record 1'!G" &amp; ROW()))</f>
        <v>KAILASH PRAJAPAT</v>
      </c>
      <c r="E226" s="8" t="str" cm="1">
        <f t="array" aca="1" ref="E226" ca="1">IF(INDIRECT("'Student_Record 1'!I" &amp; ROW())="", "", INDIRECT("'Student_Record 1'!I" &amp; ROW()))</f>
        <v>F</v>
      </c>
      <c r="F226" s="8" t="str" cm="1">
        <f t="array" aca="1" ref="F226" ca="1">IF(INDIRECT("'Student_Record 1'!O" &amp; ROW())="", "", INDIRECT("'Student_Record 1'!O" &amp; ROW()))</f>
        <v>OBC</v>
      </c>
      <c r="G226" s="11"/>
      <c r="I226" s="11"/>
      <c r="J226" s="11"/>
      <c r="K226" s="11"/>
      <c r="L226" s="11"/>
      <c r="M226" s="11"/>
      <c r="N226" s="11"/>
      <c r="O226" s="11"/>
      <c r="P226" s="11"/>
      <c r="Q226" s="11"/>
    </row>
    <row r="227" spans="1:17" x14ac:dyDescent="0.25">
      <c r="A227" s="8" cm="1">
        <f t="array" aca="1" ref="A227" ca="1">IF(INDIRECT("'Student_Record 1'!A" &amp; ROW())="", "", INDIRECT("'Student_Record 1'!A" &amp; ROW()))</f>
        <v>8</v>
      </c>
      <c r="B227" s="8" cm="1">
        <f t="array" aca="1" ref="B227" ca="1">IF(INDIRECT("'Student_Record 1'!C" &amp; ROW())="", "", INDIRECT("'Student_Record 1'!C" &amp; ROW()))</f>
        <v>779</v>
      </c>
      <c r="C227" s="8" t="str" cm="1">
        <f t="array" aca="1" ref="C227" ca="1">IF(INDIRECT("'Student_Record 1'!E" &amp; ROW())="", "", INDIRECT("'Student_Record 1'!E" &amp; ROW()))</f>
        <v>PRIYANKA DEVI CHOUDHARY</v>
      </c>
      <c r="D227" s="8" t="str" cm="1">
        <f t="array" aca="1" ref="D227" ca="1">IF(INDIRECT("'Student_Record 1'!G" &amp; ROW())="", "", INDIRECT("'Student_Record 1'!G" &amp; ROW()))</f>
        <v>BHERU LAL CHOUDHARY</v>
      </c>
      <c r="E227" s="8" t="str" cm="1">
        <f t="array" aca="1" ref="E227" ca="1">IF(INDIRECT("'Student_Record 1'!I" &amp; ROW())="", "", INDIRECT("'Student_Record 1'!I" &amp; ROW()))</f>
        <v>F</v>
      </c>
      <c r="F227" s="8" t="str" cm="1">
        <f t="array" aca="1" ref="F227" ca="1">IF(INDIRECT("'Student_Record 1'!O" &amp; ROW())="", "", INDIRECT("'Student_Record 1'!O" &amp; ROW()))</f>
        <v>OBC</v>
      </c>
      <c r="G227" s="11"/>
      <c r="I227" s="11"/>
      <c r="J227" s="11"/>
      <c r="K227" s="11"/>
      <c r="L227" s="11"/>
      <c r="M227" s="11"/>
      <c r="N227" s="11"/>
      <c r="O227" s="11"/>
      <c r="P227" s="11"/>
      <c r="Q227" s="11"/>
    </row>
    <row r="228" spans="1:17" x14ac:dyDescent="0.25">
      <c r="A228" s="8" cm="1">
        <f t="array" aca="1" ref="A228" ca="1">IF(INDIRECT("'Student_Record 1'!A" &amp; ROW())="", "", INDIRECT("'Student_Record 1'!A" &amp; ROW()))</f>
        <v>8</v>
      </c>
      <c r="B228" s="8" cm="1">
        <f t="array" aca="1" ref="B228" ca="1">IF(INDIRECT("'Student_Record 1'!C" &amp; ROW())="", "", INDIRECT("'Student_Record 1'!C" &amp; ROW()))</f>
        <v>470</v>
      </c>
      <c r="C228" s="8" t="str" cm="1">
        <f t="array" aca="1" ref="C228" ca="1">IF(INDIRECT("'Student_Record 1'!E" &amp; ROW())="", "", INDIRECT("'Student_Record 1'!E" &amp; ROW()))</f>
        <v>PRIYANKA MEGHWANSHI</v>
      </c>
      <c r="D228" s="8" t="str" cm="1">
        <f t="array" aca="1" ref="D228" ca="1">IF(INDIRECT("'Student_Record 1'!G" &amp; ROW())="", "", INDIRECT("'Student_Record 1'!G" &amp; ROW()))</f>
        <v>HANUMAN MEGHWANSHI</v>
      </c>
      <c r="E228" s="8" t="str" cm="1">
        <f t="array" aca="1" ref="E228" ca="1">IF(INDIRECT("'Student_Record 1'!I" &amp; ROW())="", "", INDIRECT("'Student_Record 1'!I" &amp; ROW()))</f>
        <v>F</v>
      </c>
      <c r="F228" s="8" t="str" cm="1">
        <f t="array" aca="1" ref="F228" ca="1">IF(INDIRECT("'Student_Record 1'!O" &amp; ROW())="", "", INDIRECT("'Student_Record 1'!O" &amp; ROW()))</f>
        <v>SC</v>
      </c>
      <c r="G228" s="11"/>
      <c r="I228" s="11"/>
      <c r="J228" s="11"/>
      <c r="K228" s="11"/>
      <c r="L228" s="11"/>
      <c r="M228" s="11"/>
      <c r="N228" s="11"/>
      <c r="O228" s="11"/>
      <c r="P228" s="11"/>
      <c r="Q228" s="11"/>
    </row>
    <row r="229" spans="1:17" x14ac:dyDescent="0.25">
      <c r="A229" s="8" cm="1">
        <f t="array" aca="1" ref="A229" ca="1">IF(INDIRECT("'Student_Record 1'!A" &amp; ROW())="", "", INDIRECT("'Student_Record 1'!A" &amp; ROW()))</f>
        <v>8</v>
      </c>
      <c r="B229" s="8" cm="1">
        <f t="array" aca="1" ref="B229" ca="1">IF(INDIRECT("'Student_Record 1'!C" &amp; ROW())="", "", INDIRECT("'Student_Record 1'!C" &amp; ROW()))</f>
        <v>445</v>
      </c>
      <c r="C229" s="8" t="str" cm="1">
        <f t="array" aca="1" ref="C229" ca="1">IF(INDIRECT("'Student_Record 1'!E" &amp; ROW())="", "", INDIRECT("'Student_Record 1'!E" &amp; ROW()))</f>
        <v>RINKU PRAJAPAT</v>
      </c>
      <c r="D229" s="8" t="str" cm="1">
        <f t="array" aca="1" ref="D229" ca="1">IF(INDIRECT("'Student_Record 1'!G" &amp; ROW())="", "", INDIRECT("'Student_Record 1'!G" &amp; ROW()))</f>
        <v>DHARMICHAND PRAJAPAT</v>
      </c>
      <c r="E229" s="8" t="str" cm="1">
        <f t="array" aca="1" ref="E229" ca="1">IF(INDIRECT("'Student_Record 1'!I" &amp; ROW())="", "", INDIRECT("'Student_Record 1'!I" &amp; ROW()))</f>
        <v>F</v>
      </c>
      <c r="F229" s="8" t="str" cm="1">
        <f t="array" aca="1" ref="F229" ca="1">IF(INDIRECT("'Student_Record 1'!O" &amp; ROW())="", "", INDIRECT("'Student_Record 1'!O" &amp; ROW()))</f>
        <v>OBC</v>
      </c>
      <c r="G229" s="11"/>
      <c r="I229" s="11"/>
      <c r="J229" s="11"/>
      <c r="K229" s="11"/>
      <c r="L229" s="11"/>
      <c r="M229" s="11"/>
      <c r="N229" s="11"/>
      <c r="O229" s="11"/>
      <c r="P229" s="11"/>
      <c r="Q229" s="11"/>
    </row>
    <row r="230" spans="1:17" x14ac:dyDescent="0.25">
      <c r="A230" s="8" cm="1">
        <f t="array" aca="1" ref="A230" ca="1">IF(INDIRECT("'Student_Record 1'!A" &amp; ROW())="", "", INDIRECT("'Student_Record 1'!A" &amp; ROW()))</f>
        <v>8</v>
      </c>
      <c r="B230" s="8" cm="1">
        <f t="array" aca="1" ref="B230" ca="1">IF(INDIRECT("'Student_Record 1'!C" &amp; ROW())="", "", INDIRECT("'Student_Record 1'!C" &amp; ROW()))</f>
        <v>376</v>
      </c>
      <c r="C230" s="8" t="str" cm="1">
        <f t="array" aca="1" ref="C230" ca="1">IF(INDIRECT("'Student_Record 1'!E" &amp; ROW())="", "", INDIRECT("'Student_Record 1'!E" &amp; ROW()))</f>
        <v>SAMEER JAT</v>
      </c>
      <c r="D230" s="8" t="str" cm="1">
        <f t="array" aca="1" ref="D230" ca="1">IF(INDIRECT("'Student_Record 1'!G" &amp; ROW())="", "", INDIRECT("'Student_Record 1'!G" &amp; ROW()))</f>
        <v>KALU RAM JAT</v>
      </c>
      <c r="E230" s="8" t="str" cm="1">
        <f t="array" aca="1" ref="E230" ca="1">IF(INDIRECT("'Student_Record 1'!I" &amp; ROW())="", "", INDIRECT("'Student_Record 1'!I" &amp; ROW()))</f>
        <v>M</v>
      </c>
      <c r="F230" s="8" t="str" cm="1">
        <f t="array" aca="1" ref="F230" ca="1">IF(INDIRECT("'Student_Record 1'!O" &amp; ROW())="", "", INDIRECT("'Student_Record 1'!O" &amp; ROW()))</f>
        <v>OBC</v>
      </c>
      <c r="G230" s="11"/>
      <c r="I230" s="11"/>
      <c r="J230" s="11"/>
      <c r="K230" s="11"/>
      <c r="L230" s="11"/>
      <c r="M230" s="11"/>
      <c r="N230" s="11"/>
      <c r="O230" s="11"/>
      <c r="P230" s="11"/>
      <c r="Q230" s="11"/>
    </row>
    <row r="231" spans="1:17" x14ac:dyDescent="0.25">
      <c r="A231" s="8" cm="1">
        <f t="array" aca="1" ref="A231" ca="1">IF(INDIRECT("'Student_Record 1'!A" &amp; ROW())="", "", INDIRECT("'Student_Record 1'!A" &amp; ROW()))</f>
        <v>8</v>
      </c>
      <c r="B231" s="8" cm="1">
        <f t="array" aca="1" ref="B231" ca="1">IF(INDIRECT("'Student_Record 1'!C" &amp; ROW())="", "", INDIRECT("'Student_Record 1'!C" &amp; ROW()))</f>
        <v>783</v>
      </c>
      <c r="C231" s="8" t="str" cm="1">
        <f t="array" aca="1" ref="C231" ca="1">IF(INDIRECT("'Student_Record 1'!E" &amp; ROW())="", "", INDIRECT("'Student_Record 1'!E" &amp; ROW()))</f>
        <v>SAMINA DEVI CHOUDHARY</v>
      </c>
      <c r="D231" s="8" t="str" cm="1">
        <f t="array" aca="1" ref="D231" ca="1">IF(INDIRECT("'Student_Record 1'!G" &amp; ROW())="", "", INDIRECT("'Student_Record 1'!G" &amp; ROW()))</f>
        <v>KANARAM CHOUDHARY</v>
      </c>
      <c r="E231" s="8" t="str" cm="1">
        <f t="array" aca="1" ref="E231" ca="1">IF(INDIRECT("'Student_Record 1'!I" &amp; ROW())="", "", INDIRECT("'Student_Record 1'!I" &amp; ROW()))</f>
        <v>F</v>
      </c>
      <c r="F231" s="8" t="str" cm="1">
        <f t="array" aca="1" ref="F231" ca="1">IF(INDIRECT("'Student_Record 1'!O" &amp; ROW())="", "", INDIRECT("'Student_Record 1'!O" &amp; ROW()))</f>
        <v>OBC</v>
      </c>
      <c r="G231" s="11"/>
      <c r="I231" s="11"/>
      <c r="J231" s="11"/>
      <c r="K231" s="11"/>
      <c r="L231" s="11"/>
      <c r="M231" s="11"/>
      <c r="N231" s="11"/>
      <c r="O231" s="11"/>
      <c r="P231" s="11"/>
      <c r="Q231" s="11"/>
    </row>
    <row r="232" spans="1:17" x14ac:dyDescent="0.25">
      <c r="A232" s="8" cm="1">
        <f t="array" aca="1" ref="A232" ca="1">IF(INDIRECT("'Student_Record 1'!A" &amp; ROW())="", "", INDIRECT("'Student_Record 1'!A" &amp; ROW()))</f>
        <v>8</v>
      </c>
      <c r="B232" s="8" cm="1">
        <f t="array" aca="1" ref="B232" ca="1">IF(INDIRECT("'Student_Record 1'!C" &amp; ROW())="", "", INDIRECT("'Student_Record 1'!C" &amp; ROW()))</f>
        <v>631</v>
      </c>
      <c r="C232" s="8" t="str" cm="1">
        <f t="array" aca="1" ref="C232" ca="1">IF(INDIRECT("'Student_Record 1'!E" &amp; ROW())="", "", INDIRECT("'Student_Record 1'!E" &amp; ROW()))</f>
        <v>SHAITAN JAT</v>
      </c>
      <c r="D232" s="8" t="str" cm="1">
        <f t="array" aca="1" ref="D232" ca="1">IF(INDIRECT("'Student_Record 1'!G" &amp; ROW())="", "", INDIRECT("'Student_Record 1'!G" &amp; ROW()))</f>
        <v>Basram Jat</v>
      </c>
      <c r="E232" s="8" t="str" cm="1">
        <f t="array" aca="1" ref="E232" ca="1">IF(INDIRECT("'Student_Record 1'!I" &amp; ROW())="", "", INDIRECT("'Student_Record 1'!I" &amp; ROW()))</f>
        <v>M</v>
      </c>
      <c r="F232" s="8" t="str" cm="1">
        <f t="array" aca="1" ref="F232" ca="1">IF(INDIRECT("'Student_Record 1'!O" &amp; ROW())="", "", INDIRECT("'Student_Record 1'!O" &amp; ROW()))</f>
        <v>OBC</v>
      </c>
      <c r="G232" s="11"/>
      <c r="I232" s="11"/>
      <c r="J232" s="11"/>
      <c r="K232" s="11"/>
      <c r="L232" s="11"/>
      <c r="M232" s="11"/>
      <c r="N232" s="11"/>
      <c r="O232" s="11"/>
      <c r="P232" s="11"/>
      <c r="Q232" s="11"/>
    </row>
    <row r="233" spans="1:17" x14ac:dyDescent="0.25">
      <c r="A233" s="8" cm="1">
        <f t="array" aca="1" ref="A233" ca="1">IF(INDIRECT("'Student_Record 1'!A" &amp; ROW())="", "", INDIRECT("'Student_Record 1'!A" &amp; ROW()))</f>
        <v>8</v>
      </c>
      <c r="B233" s="8" cm="1">
        <f t="array" aca="1" ref="B233" ca="1">IF(INDIRECT("'Student_Record 1'!C" &amp; ROW())="", "", INDIRECT("'Student_Record 1'!C" &amp; ROW()))</f>
        <v>725</v>
      </c>
      <c r="C233" s="8" t="str" cm="1">
        <f t="array" aca="1" ref="C233" ca="1">IF(INDIRECT("'Student_Record 1'!E" &amp; ROW())="", "", INDIRECT("'Student_Record 1'!E" &amp; ROW()))</f>
        <v>Shaukeen Prajapat</v>
      </c>
      <c r="D233" s="8" t="str" cm="1">
        <f t="array" aca="1" ref="D233" ca="1">IF(INDIRECT("'Student_Record 1'!G" &amp; ROW())="", "", INDIRECT("'Student_Record 1'!G" &amp; ROW()))</f>
        <v>Hansraj Prajapat</v>
      </c>
      <c r="E233" s="8" t="str" cm="1">
        <f t="array" aca="1" ref="E233" ca="1">IF(INDIRECT("'Student_Record 1'!I" &amp; ROW())="", "", INDIRECT("'Student_Record 1'!I" &amp; ROW()))</f>
        <v>M</v>
      </c>
      <c r="F233" s="8" t="str" cm="1">
        <f t="array" aca="1" ref="F233" ca="1">IF(INDIRECT("'Student_Record 1'!O" &amp; ROW())="", "", INDIRECT("'Student_Record 1'!O" &amp; ROW()))</f>
        <v>OBC</v>
      </c>
      <c r="G233" s="11"/>
      <c r="I233" s="11"/>
      <c r="J233" s="11"/>
      <c r="K233" s="11"/>
      <c r="L233" s="11"/>
      <c r="M233" s="11"/>
      <c r="N233" s="11"/>
      <c r="O233" s="11"/>
      <c r="P233" s="11"/>
      <c r="Q233" s="11"/>
    </row>
    <row r="234" spans="1:17" x14ac:dyDescent="0.25">
      <c r="A234" s="8" cm="1">
        <f t="array" aca="1" ref="A234" ca="1">IF(INDIRECT("'Student_Record 1'!A" &amp; ROW())="", "", INDIRECT("'Student_Record 1'!A" &amp; ROW()))</f>
        <v>8</v>
      </c>
      <c r="B234" s="8" cm="1">
        <f t="array" aca="1" ref="B234" ca="1">IF(INDIRECT("'Student_Record 1'!C" &amp; ROW())="", "", INDIRECT("'Student_Record 1'!C" &amp; ROW()))</f>
        <v>749</v>
      </c>
      <c r="C234" s="8" t="str" cm="1">
        <f t="array" aca="1" ref="C234" ca="1">IF(INDIRECT("'Student_Record 1'!E" &amp; ROW())="", "", INDIRECT("'Student_Record 1'!E" &amp; ROW()))</f>
        <v>Sonika</v>
      </c>
      <c r="D234" s="8" t="str" cm="1">
        <f t="array" aca="1" ref="D234" ca="1">IF(INDIRECT("'Student_Record 1'!G" &amp; ROW())="", "", INDIRECT("'Student_Record 1'!G" &amp; ROW()))</f>
        <v>Rajendra Jat</v>
      </c>
      <c r="E234" s="8" t="str" cm="1">
        <f t="array" aca="1" ref="E234" ca="1">IF(INDIRECT("'Student_Record 1'!I" &amp; ROW())="", "", INDIRECT("'Student_Record 1'!I" &amp; ROW()))</f>
        <v>F</v>
      </c>
      <c r="F234" s="8" t="str" cm="1">
        <f t="array" aca="1" ref="F234" ca="1">IF(INDIRECT("'Student_Record 1'!O" &amp; ROW())="", "", INDIRECT("'Student_Record 1'!O" &amp; ROW()))</f>
        <v>OBC</v>
      </c>
      <c r="G234" s="11"/>
      <c r="I234" s="11"/>
      <c r="J234" s="11"/>
      <c r="K234" s="11"/>
      <c r="L234" s="11"/>
      <c r="M234" s="11"/>
      <c r="N234" s="11"/>
      <c r="O234" s="11"/>
      <c r="P234" s="11"/>
      <c r="Q234" s="11"/>
    </row>
    <row r="235" spans="1:17" x14ac:dyDescent="0.25">
      <c r="A235" s="8" cm="1">
        <f t="array" aca="1" ref="A235" ca="1">IF(INDIRECT("'Student_Record 1'!A" &amp; ROW())="", "", INDIRECT("'Student_Record 1'!A" &amp; ROW()))</f>
        <v>8</v>
      </c>
      <c r="B235" s="8" cm="1">
        <f t="array" aca="1" ref="B235" ca="1">IF(INDIRECT("'Student_Record 1'!C" &amp; ROW())="", "", INDIRECT("'Student_Record 1'!C" &amp; ROW()))</f>
        <v>411</v>
      </c>
      <c r="C235" s="8" t="str" cm="1">
        <f t="array" aca="1" ref="C235" ca="1">IF(INDIRECT("'Student_Record 1'!E" &amp; ROW())="", "", INDIRECT("'Student_Record 1'!E" &amp; ROW()))</f>
        <v>SUKHPAL PRAJAPAT</v>
      </c>
      <c r="D235" s="8" t="str" cm="1">
        <f t="array" aca="1" ref="D235" ca="1">IF(INDIRECT("'Student_Record 1'!G" &amp; ROW())="", "", INDIRECT("'Student_Record 1'!G" &amp; ROW()))</f>
        <v>HANUMAN PRAJAPAT</v>
      </c>
      <c r="E235" s="8" t="str" cm="1">
        <f t="array" aca="1" ref="E235" ca="1">IF(INDIRECT("'Student_Record 1'!I" &amp; ROW())="", "", INDIRECT("'Student_Record 1'!I" &amp; ROW()))</f>
        <v>M</v>
      </c>
      <c r="F235" s="8" t="str" cm="1">
        <f t="array" aca="1" ref="F235" ca="1">IF(INDIRECT("'Student_Record 1'!O" &amp; ROW())="", "", INDIRECT("'Student_Record 1'!O" &amp; ROW()))</f>
        <v>OBC</v>
      </c>
      <c r="G235" s="11"/>
      <c r="I235" s="11"/>
      <c r="J235" s="11"/>
      <c r="K235" s="11"/>
      <c r="L235" s="11"/>
      <c r="M235" s="11"/>
      <c r="N235" s="11"/>
      <c r="O235" s="11"/>
      <c r="P235" s="11"/>
      <c r="Q235" s="11"/>
    </row>
    <row r="236" spans="1:17" x14ac:dyDescent="0.25">
      <c r="A236" s="8" cm="1">
        <f t="array" aca="1" ref="A236" ca="1">IF(INDIRECT("'Student_Record 1'!A" &amp; ROW())="", "", INDIRECT("'Student_Record 1'!A" &amp; ROW()))</f>
        <v>8</v>
      </c>
      <c r="B236" s="8" cm="1">
        <f t="array" aca="1" ref="B236" ca="1">IF(INDIRECT("'Student_Record 1'!C" &amp; ROW())="", "", INDIRECT("'Student_Record 1'!C" &amp; ROW()))</f>
        <v>602</v>
      </c>
      <c r="C236" s="8" t="str" cm="1">
        <f t="array" aca="1" ref="C236" ca="1">IF(INDIRECT("'Student_Record 1'!E" &amp; ROW())="", "", INDIRECT("'Student_Record 1'!E" &amp; ROW()))</f>
        <v>Suman Choudhary</v>
      </c>
      <c r="D236" s="8" t="str" cm="1">
        <f t="array" aca="1" ref="D236" ca="1">IF(INDIRECT("'Student_Record 1'!G" &amp; ROW())="", "", INDIRECT("'Student_Record 1'!G" &amp; ROW()))</f>
        <v>Gopal Choudhary</v>
      </c>
      <c r="E236" s="8" t="str" cm="1">
        <f t="array" aca="1" ref="E236" ca="1">IF(INDIRECT("'Student_Record 1'!I" &amp; ROW())="", "", INDIRECT("'Student_Record 1'!I" &amp; ROW()))</f>
        <v>F</v>
      </c>
      <c r="F236" s="8" t="str" cm="1">
        <f t="array" aca="1" ref="F236" ca="1">IF(INDIRECT("'Student_Record 1'!O" &amp; ROW())="", "", INDIRECT("'Student_Record 1'!O" &amp; ROW()))</f>
        <v>OBC</v>
      </c>
      <c r="G236" s="11"/>
      <c r="I236" s="11"/>
      <c r="J236" s="11"/>
      <c r="K236" s="11"/>
      <c r="L236" s="11"/>
      <c r="M236" s="11"/>
      <c r="N236" s="11"/>
      <c r="O236" s="11"/>
      <c r="P236" s="11"/>
      <c r="Q236" s="11"/>
    </row>
    <row r="237" spans="1:17" x14ac:dyDescent="0.25">
      <c r="A237" s="8" cm="1">
        <f t="array" aca="1" ref="A237" ca="1">IF(INDIRECT("'Student_Record 1'!A" &amp; ROW())="", "", INDIRECT("'Student_Record 1'!A" &amp; ROW()))</f>
        <v>8</v>
      </c>
      <c r="B237" s="8" cm="1">
        <f t="array" aca="1" ref="B237" ca="1">IF(INDIRECT("'Student_Record 1'!C" &amp; ROW())="", "", INDIRECT("'Student_Record 1'!C" &amp; ROW()))</f>
        <v>382</v>
      </c>
      <c r="C237" s="8" t="str" cm="1">
        <f t="array" aca="1" ref="C237" ca="1">IF(INDIRECT("'Student_Record 1'!E" &amp; ROW())="", "", INDIRECT("'Student_Record 1'!E" &amp; ROW()))</f>
        <v>SUNITA PRAJAPAT</v>
      </c>
      <c r="D237" s="8" t="str" cm="1">
        <f t="array" aca="1" ref="D237" ca="1">IF(INDIRECT("'Student_Record 1'!G" &amp; ROW())="", "", INDIRECT("'Student_Record 1'!G" &amp; ROW()))</f>
        <v>PRABHU PRAJAPAT</v>
      </c>
      <c r="E237" s="8" t="str" cm="1">
        <f t="array" aca="1" ref="E237" ca="1">IF(INDIRECT("'Student_Record 1'!I" &amp; ROW())="", "", INDIRECT("'Student_Record 1'!I" &amp; ROW()))</f>
        <v>F</v>
      </c>
      <c r="F237" s="8" t="str" cm="1">
        <f t="array" aca="1" ref="F237" ca="1">IF(INDIRECT("'Student_Record 1'!O" &amp; ROW())="", "", INDIRECT("'Student_Record 1'!O" &amp; ROW()))</f>
        <v>OBC</v>
      </c>
      <c r="G237" s="11"/>
      <c r="I237" s="11"/>
      <c r="J237" s="11"/>
      <c r="K237" s="11"/>
      <c r="L237" s="11"/>
      <c r="M237" s="11"/>
      <c r="N237" s="11"/>
      <c r="O237" s="11"/>
      <c r="P237" s="11"/>
      <c r="Q237" s="11"/>
    </row>
    <row r="238" spans="1:17" x14ac:dyDescent="0.25">
      <c r="A238" s="8" cm="1">
        <f t="array" aca="1" ref="A238" ca="1">IF(INDIRECT("'Student_Record 1'!A" &amp; ROW())="", "", INDIRECT("'Student_Record 1'!A" &amp; ROW()))</f>
        <v>8</v>
      </c>
      <c r="B238" s="8" cm="1">
        <f t="array" aca="1" ref="B238" ca="1">IF(INDIRECT("'Student_Record 1'!C" &amp; ROW())="", "", INDIRECT("'Student_Record 1'!C" &amp; ROW()))</f>
        <v>402</v>
      </c>
      <c r="C238" s="8" t="str" cm="1">
        <f t="array" aca="1" ref="C238" ca="1">IF(INDIRECT("'Student_Record 1'!E" &amp; ROW())="", "", INDIRECT("'Student_Record 1'!E" &amp; ROW()))</f>
        <v>VIJAY MEGHWANSHI</v>
      </c>
      <c r="D238" s="8" t="str" cm="1">
        <f t="array" aca="1" ref="D238" ca="1">IF(INDIRECT("'Student_Record 1'!G" &amp; ROW())="", "", INDIRECT("'Student_Record 1'!G" &amp; ROW()))</f>
        <v>DHANRAJ MEGHWANSHI</v>
      </c>
      <c r="E238" s="8" t="str" cm="1">
        <f t="array" aca="1" ref="E238" ca="1">IF(INDIRECT("'Student_Record 1'!I" &amp; ROW())="", "", INDIRECT("'Student_Record 1'!I" &amp; ROW()))</f>
        <v>M</v>
      </c>
      <c r="F238" s="8" t="str" cm="1">
        <f t="array" aca="1" ref="F238" ca="1">IF(INDIRECT("'Student_Record 1'!O" &amp; ROW())="", "", INDIRECT("'Student_Record 1'!O" &amp; ROW()))</f>
        <v>SC</v>
      </c>
      <c r="G238" s="11"/>
      <c r="I238" s="11"/>
      <c r="J238" s="11"/>
      <c r="K238" s="11"/>
      <c r="L238" s="11"/>
      <c r="M238" s="11"/>
      <c r="N238" s="11"/>
      <c r="O238" s="11"/>
      <c r="P238" s="11"/>
      <c r="Q238" s="11"/>
    </row>
    <row r="239" spans="1:17" x14ac:dyDescent="0.25">
      <c r="A239" s="8" cm="1">
        <f t="array" aca="1" ref="A239" ca="1">IF(INDIRECT("'Student_Record 1'!A" &amp; ROW())="", "", INDIRECT("'Student_Record 1'!A" &amp; ROW()))</f>
        <v>8</v>
      </c>
      <c r="B239" s="8" cm="1">
        <f t="array" aca="1" ref="B239" ca="1">IF(INDIRECT("'Student_Record 1'!C" &amp; ROW())="", "", INDIRECT("'Student_Record 1'!C" &amp; ROW()))</f>
        <v>661</v>
      </c>
      <c r="C239" s="8" t="str" cm="1">
        <f t="array" aca="1" ref="C239" ca="1">IF(INDIRECT("'Student_Record 1'!E" &amp; ROW())="", "", INDIRECT("'Student_Record 1'!E" &amp; ROW()))</f>
        <v>Yasmin</v>
      </c>
      <c r="D239" s="8" t="str" cm="1">
        <f t="array" aca="1" ref="D239" ca="1">IF(INDIRECT("'Student_Record 1'!G" &amp; ROW())="", "", INDIRECT("'Student_Record 1'!G" &amp; ROW()))</f>
        <v>Ahasan Ali</v>
      </c>
      <c r="E239" s="8" t="str" cm="1">
        <f t="array" aca="1" ref="E239" ca="1">IF(INDIRECT("'Student_Record 1'!I" &amp; ROW())="", "", INDIRECT("'Student_Record 1'!I" &amp; ROW()))</f>
        <v>F</v>
      </c>
      <c r="F239" s="8" t="str" cm="1">
        <f t="array" aca="1" ref="F239" ca="1">IF(INDIRECT("'Student_Record 1'!O" &amp; ROW())="", "", INDIRECT("'Student_Record 1'!O" &amp; ROW()))</f>
        <v>OBC</v>
      </c>
      <c r="G239" s="11"/>
      <c r="I239" s="11"/>
      <c r="J239" s="11"/>
      <c r="K239" s="11"/>
      <c r="L239" s="11"/>
      <c r="M239" s="11"/>
      <c r="N239" s="11"/>
      <c r="O239" s="11"/>
      <c r="P239" s="11"/>
      <c r="Q239" s="11"/>
    </row>
    <row r="240" spans="1:17" x14ac:dyDescent="0.25">
      <c r="A240" s="8" cm="1">
        <f t="array" aca="1" ref="A240" ca="1">IF(INDIRECT("'Student_Record 1'!A" &amp; ROW())="", "", INDIRECT("'Student_Record 1'!A" &amp; ROW()))</f>
        <v>9</v>
      </c>
      <c r="B240" s="8" cm="1">
        <f t="array" aca="1" ref="B240" ca="1">IF(INDIRECT("'Student_Record 1'!C" &amp; ROW())="", "", INDIRECT("'Student_Record 1'!C" &amp; ROW()))</f>
        <v>723</v>
      </c>
      <c r="C240" s="8" t="str" cm="1">
        <f t="array" aca="1" ref="C240" ca="1">IF(INDIRECT("'Student_Record 1'!E" &amp; ROW())="", "", INDIRECT("'Student_Record 1'!E" &amp; ROW()))</f>
        <v>AARTI GURJAR</v>
      </c>
      <c r="D240" s="8" t="str" cm="1">
        <f t="array" aca="1" ref="D240" ca="1">IF(INDIRECT("'Student_Record 1'!G" &amp; ROW())="", "", INDIRECT("'Student_Record 1'!G" &amp; ROW()))</f>
        <v>SAITHAN GURJAR</v>
      </c>
      <c r="E240" s="8" t="str" cm="1">
        <f t="array" aca="1" ref="E240" ca="1">IF(INDIRECT("'Student_Record 1'!I" &amp; ROW())="", "", INDIRECT("'Student_Record 1'!I" &amp; ROW()))</f>
        <v>F</v>
      </c>
      <c r="F240" s="8" t="str" cm="1">
        <f t="array" aca="1" ref="F240" ca="1">IF(INDIRECT("'Student_Record 1'!O" &amp; ROW())="", "", INDIRECT("'Student_Record 1'!O" &amp; ROW()))</f>
        <v>SBC</v>
      </c>
      <c r="G240" s="11"/>
      <c r="I240" s="11"/>
      <c r="J240" s="11"/>
      <c r="K240" s="11"/>
      <c r="L240" s="11"/>
      <c r="M240" s="11"/>
      <c r="N240" s="11"/>
      <c r="O240" s="11"/>
      <c r="P240" s="11"/>
      <c r="Q240" s="11"/>
    </row>
    <row r="241" spans="1:17" x14ac:dyDescent="0.25">
      <c r="A241" s="8" cm="1">
        <f t="array" aca="1" ref="A241" ca="1">IF(INDIRECT("'Student_Record 1'!A" &amp; ROW())="", "", INDIRECT("'Student_Record 1'!A" &amp; ROW()))</f>
        <v>9</v>
      </c>
      <c r="B241" s="8" cm="1">
        <f t="array" aca="1" ref="B241" ca="1">IF(INDIRECT("'Student_Record 1'!C" &amp; ROW())="", "", INDIRECT("'Student_Record 1'!C" &amp; ROW()))</f>
        <v>506</v>
      </c>
      <c r="C241" s="8" t="str" cm="1">
        <f t="array" aca="1" ref="C241" ca="1">IF(INDIRECT("'Student_Record 1'!E" &amp; ROW())="", "", INDIRECT("'Student_Record 1'!E" &amp; ROW()))</f>
        <v>ANJU JAT</v>
      </c>
      <c r="D241" s="8" t="str" cm="1">
        <f t="array" aca="1" ref="D241" ca="1">IF(INDIRECT("'Student_Record 1'!G" &amp; ROW())="", "", INDIRECT("'Student_Record 1'!G" &amp; ROW()))</f>
        <v>KAILASH CHAND JAT</v>
      </c>
      <c r="E241" s="8" t="str" cm="1">
        <f t="array" aca="1" ref="E241" ca="1">IF(INDIRECT("'Student_Record 1'!I" &amp; ROW())="", "", INDIRECT("'Student_Record 1'!I" &amp; ROW()))</f>
        <v>F</v>
      </c>
      <c r="F241" s="8" t="str" cm="1">
        <f t="array" aca="1" ref="F241" ca="1">IF(INDIRECT("'Student_Record 1'!O" &amp; ROW())="", "", INDIRECT("'Student_Record 1'!O" &amp; ROW()))</f>
        <v>OBC</v>
      </c>
      <c r="G241" s="11"/>
      <c r="I241" s="11"/>
      <c r="J241" s="11"/>
      <c r="K241" s="11"/>
      <c r="L241" s="11"/>
      <c r="M241" s="11"/>
      <c r="N241" s="11"/>
      <c r="O241" s="11"/>
      <c r="P241" s="11"/>
      <c r="Q241" s="11"/>
    </row>
    <row r="242" spans="1:17" x14ac:dyDescent="0.25">
      <c r="A242" s="8" cm="1">
        <f t="array" aca="1" ref="A242" ca="1">IF(INDIRECT("'Student_Record 1'!A" &amp; ROW())="", "", INDIRECT("'Student_Record 1'!A" &amp; ROW()))</f>
        <v>9</v>
      </c>
      <c r="B242" s="8" cm="1">
        <f t="array" aca="1" ref="B242" ca="1">IF(INDIRECT("'Student_Record 1'!C" &amp; ROW())="", "", INDIRECT("'Student_Record 1'!C" &amp; ROW()))</f>
        <v>571</v>
      </c>
      <c r="C242" s="8" t="str" cm="1">
        <f t="array" aca="1" ref="C242" ca="1">IF(INDIRECT("'Student_Record 1'!E" &amp; ROW())="", "", INDIRECT("'Student_Record 1'!E" &amp; ROW()))</f>
        <v>ARJUN JAT</v>
      </c>
      <c r="D242" s="8" t="str" cm="1">
        <f t="array" aca="1" ref="D242" ca="1">IF(INDIRECT("'Student_Record 1'!G" &amp; ROW())="", "", INDIRECT("'Student_Record 1'!G" &amp; ROW()))</f>
        <v>KAILASH JAT</v>
      </c>
      <c r="E242" s="8" t="str" cm="1">
        <f t="array" aca="1" ref="E242" ca="1">IF(INDIRECT("'Student_Record 1'!I" &amp; ROW())="", "", INDIRECT("'Student_Record 1'!I" &amp; ROW()))</f>
        <v>M</v>
      </c>
      <c r="F242" s="8" t="str" cm="1">
        <f t="array" aca="1" ref="F242" ca="1">IF(INDIRECT("'Student_Record 1'!O" &amp; ROW())="", "", INDIRECT("'Student_Record 1'!O" &amp; ROW()))</f>
        <v>OBC</v>
      </c>
      <c r="G242" s="11"/>
      <c r="I242" s="11"/>
      <c r="J242" s="11"/>
      <c r="K242" s="11"/>
      <c r="L242" s="11"/>
      <c r="M242" s="11"/>
      <c r="N242" s="11"/>
      <c r="O242" s="11"/>
      <c r="P242" s="11"/>
      <c r="Q242" s="11"/>
    </row>
    <row r="243" spans="1:17" x14ac:dyDescent="0.25">
      <c r="A243" s="8" cm="1">
        <f t="array" aca="1" ref="A243" ca="1">IF(INDIRECT("'Student_Record 1'!A" &amp; ROW())="", "", INDIRECT("'Student_Record 1'!A" &amp; ROW()))</f>
        <v>9</v>
      </c>
      <c r="B243" s="8" cm="1">
        <f t="array" aca="1" ref="B243" ca="1">IF(INDIRECT("'Student_Record 1'!C" &amp; ROW())="", "", INDIRECT("'Student_Record 1'!C" &amp; ROW()))</f>
        <v>692</v>
      </c>
      <c r="C243" s="8" t="str" cm="1">
        <f t="array" aca="1" ref="C243" ca="1">IF(INDIRECT("'Student_Record 1'!E" &amp; ROW())="", "", INDIRECT("'Student_Record 1'!E" &amp; ROW()))</f>
        <v>Cheana Jat</v>
      </c>
      <c r="D243" s="8" t="str" cm="1">
        <f t="array" aca="1" ref="D243" ca="1">IF(INDIRECT("'Student_Record 1'!G" &amp; ROW())="", "", INDIRECT("'Student_Record 1'!G" &amp; ROW()))</f>
        <v>Hardayal Jat</v>
      </c>
      <c r="E243" s="8" t="str" cm="1">
        <f t="array" aca="1" ref="E243" ca="1">IF(INDIRECT("'Student_Record 1'!I" &amp; ROW())="", "", INDIRECT("'Student_Record 1'!I" &amp; ROW()))</f>
        <v>F</v>
      </c>
      <c r="F243" s="8" t="str" cm="1">
        <f t="array" aca="1" ref="F243" ca="1">IF(INDIRECT("'Student_Record 1'!O" &amp; ROW())="", "", INDIRECT("'Student_Record 1'!O" &amp; ROW()))</f>
        <v>OBC</v>
      </c>
      <c r="G243" s="11"/>
      <c r="I243" s="11"/>
      <c r="J243" s="11"/>
      <c r="K243" s="11"/>
      <c r="L243" s="11"/>
      <c r="M243" s="11"/>
      <c r="N243" s="11"/>
      <c r="O243" s="11"/>
      <c r="P243" s="11"/>
      <c r="Q243" s="11"/>
    </row>
    <row r="244" spans="1:17" x14ac:dyDescent="0.25">
      <c r="A244" s="8" cm="1">
        <f t="array" aca="1" ref="A244" ca="1">IF(INDIRECT("'Student_Record 1'!A" &amp; ROW())="", "", INDIRECT("'Student_Record 1'!A" &amp; ROW()))</f>
        <v>9</v>
      </c>
      <c r="B244" s="8" cm="1">
        <f t="array" aca="1" ref="B244" ca="1">IF(INDIRECT("'Student_Record 1'!C" &amp; ROW())="", "", INDIRECT("'Student_Record 1'!C" &amp; ROW()))</f>
        <v>352</v>
      </c>
      <c r="C244" s="8" t="str" cm="1">
        <f t="array" aca="1" ref="C244" ca="1">IF(INDIRECT("'Student_Record 1'!E" &amp; ROW())="", "", INDIRECT("'Student_Record 1'!E" &amp; ROW()))</f>
        <v>DEEPAK JAT</v>
      </c>
      <c r="D244" s="8" t="str" cm="1">
        <f t="array" aca="1" ref="D244" ca="1">IF(INDIRECT("'Student_Record 1'!G" &amp; ROW())="", "", INDIRECT("'Student_Record 1'!G" &amp; ROW()))</f>
        <v>BHAGCHAND JAT</v>
      </c>
      <c r="E244" s="8" t="str" cm="1">
        <f t="array" aca="1" ref="E244" ca="1">IF(INDIRECT("'Student_Record 1'!I" &amp; ROW())="", "", INDIRECT("'Student_Record 1'!I" &amp; ROW()))</f>
        <v>M</v>
      </c>
      <c r="F244" s="8" t="str" cm="1">
        <f t="array" aca="1" ref="F244" ca="1">IF(INDIRECT("'Student_Record 1'!O" &amp; ROW())="", "", INDIRECT("'Student_Record 1'!O" &amp; ROW()))</f>
        <v>OBC</v>
      </c>
      <c r="G244" s="11"/>
      <c r="I244" s="11"/>
      <c r="J244" s="11"/>
      <c r="K244" s="11"/>
      <c r="L244" s="11"/>
      <c r="M244" s="11"/>
      <c r="N244" s="11"/>
      <c r="O244" s="11"/>
      <c r="P244" s="11"/>
      <c r="Q244" s="11"/>
    </row>
    <row r="245" spans="1:17" x14ac:dyDescent="0.25">
      <c r="A245" s="8" cm="1">
        <f t="array" aca="1" ref="A245" ca="1">IF(INDIRECT("'Student_Record 1'!A" &amp; ROW())="", "", INDIRECT("'Student_Record 1'!A" &amp; ROW()))</f>
        <v>9</v>
      </c>
      <c r="B245" s="8" cm="1">
        <f t="array" aca="1" ref="B245" ca="1">IF(INDIRECT("'Student_Record 1'!C" &amp; ROW())="", "", INDIRECT("'Student_Record 1'!C" &amp; ROW()))</f>
        <v>689</v>
      </c>
      <c r="C245" s="8" t="str" cm="1">
        <f t="array" aca="1" ref="C245" ca="1">IF(INDIRECT("'Student_Record 1'!E" &amp; ROW())="", "", INDIRECT("'Student_Record 1'!E" &amp; ROW()))</f>
        <v>DEEPU RAM BHEEL</v>
      </c>
      <c r="D245" s="8" t="str" cm="1">
        <f t="array" aca="1" ref="D245" ca="1">IF(INDIRECT("'Student_Record 1'!G" &amp; ROW())="", "", INDIRECT("'Student_Record 1'!G" &amp; ROW()))</f>
        <v>SHANKAR LAL BHEEL</v>
      </c>
      <c r="E245" s="8" t="str" cm="1">
        <f t="array" aca="1" ref="E245" ca="1">IF(INDIRECT("'Student_Record 1'!I" &amp; ROW())="", "", INDIRECT("'Student_Record 1'!I" &amp; ROW()))</f>
        <v>M</v>
      </c>
      <c r="F245" s="8" t="str" cm="1">
        <f t="array" aca="1" ref="F245" ca="1">IF(INDIRECT("'Student_Record 1'!O" &amp; ROW())="", "", INDIRECT("'Student_Record 1'!O" &amp; ROW()))</f>
        <v>ST</v>
      </c>
      <c r="G245" s="11"/>
      <c r="I245" s="11"/>
      <c r="J245" s="11"/>
      <c r="K245" s="11"/>
      <c r="L245" s="11"/>
      <c r="M245" s="11"/>
      <c r="N245" s="11"/>
      <c r="O245" s="11"/>
      <c r="P245" s="11"/>
      <c r="Q245" s="11"/>
    </row>
    <row r="246" spans="1:17" x14ac:dyDescent="0.25">
      <c r="A246" s="8" cm="1">
        <f t="array" aca="1" ref="A246" ca="1">IF(INDIRECT("'Student_Record 1'!A" &amp; ROW())="", "", INDIRECT("'Student_Record 1'!A" &amp; ROW()))</f>
        <v>9</v>
      </c>
      <c r="B246" s="8" cm="1">
        <f t="array" aca="1" ref="B246" ca="1">IF(INDIRECT("'Student_Record 1'!C" &amp; ROW())="", "", INDIRECT("'Student_Record 1'!C" &amp; ROW()))</f>
        <v>777</v>
      </c>
      <c r="C246" s="8" t="str" cm="1">
        <f t="array" aca="1" ref="C246" ca="1">IF(INDIRECT("'Student_Record 1'!E" &amp; ROW())="", "", INDIRECT("'Student_Record 1'!E" &amp; ROW()))</f>
        <v>Dillu</v>
      </c>
      <c r="D246" s="8" t="str" cm="1">
        <f t="array" aca="1" ref="D246" ca="1">IF(INDIRECT("'Student_Record 1'!G" &amp; ROW())="", "", INDIRECT("'Student_Record 1'!G" &amp; ROW()))</f>
        <v>Chhotu Teli</v>
      </c>
      <c r="E246" s="8" t="str" cm="1">
        <f t="array" aca="1" ref="E246" ca="1">IF(INDIRECT("'Student_Record 1'!I" &amp; ROW())="", "", INDIRECT("'Student_Record 1'!I" &amp; ROW()))</f>
        <v>M</v>
      </c>
      <c r="F246" s="8" t="str" cm="1">
        <f t="array" aca="1" ref="F246" ca="1">IF(INDIRECT("'Student_Record 1'!O" &amp; ROW())="", "", INDIRECT("'Student_Record 1'!O" &amp; ROW()))</f>
        <v>OBC</v>
      </c>
      <c r="G246" s="11"/>
      <c r="I246" s="11"/>
      <c r="J246" s="11"/>
      <c r="K246" s="11"/>
      <c r="L246" s="11"/>
      <c r="M246" s="11"/>
      <c r="N246" s="11"/>
      <c r="O246" s="11"/>
      <c r="P246" s="11"/>
      <c r="Q246" s="11"/>
    </row>
    <row r="247" spans="1:17" x14ac:dyDescent="0.25">
      <c r="A247" s="8" cm="1">
        <f t="array" aca="1" ref="A247" ca="1">IF(INDIRECT("'Student_Record 1'!A" &amp; ROW())="", "", INDIRECT("'Student_Record 1'!A" &amp; ROW()))</f>
        <v>9</v>
      </c>
      <c r="B247" s="8" cm="1">
        <f t="array" aca="1" ref="B247" ca="1">IF(INDIRECT("'Student_Record 1'!C" &amp; ROW())="", "", INDIRECT("'Student_Record 1'!C" &amp; ROW()))</f>
        <v>328</v>
      </c>
      <c r="C247" s="8" t="str" cm="1">
        <f t="array" aca="1" ref="C247" ca="1">IF(INDIRECT("'Student_Record 1'!E" &amp; ROW())="", "", INDIRECT("'Student_Record 1'!E" &amp; ROW()))</f>
        <v>GANESH PRAJAPAT</v>
      </c>
      <c r="D247" s="8" t="str" cm="1">
        <f t="array" aca="1" ref="D247" ca="1">IF(INDIRECT("'Student_Record 1'!G" &amp; ROW())="", "", INDIRECT("'Student_Record 1'!G" &amp; ROW()))</f>
        <v>DHOOLA RAM PRAJAPAT</v>
      </c>
      <c r="E247" s="8" t="str" cm="1">
        <f t="array" aca="1" ref="E247" ca="1">IF(INDIRECT("'Student_Record 1'!I" &amp; ROW())="", "", INDIRECT("'Student_Record 1'!I" &amp; ROW()))</f>
        <v>M</v>
      </c>
      <c r="F247" s="8" t="str" cm="1">
        <f t="array" aca="1" ref="F247" ca="1">IF(INDIRECT("'Student_Record 1'!O" &amp; ROW())="", "", INDIRECT("'Student_Record 1'!O" &amp; ROW()))</f>
        <v>OBC</v>
      </c>
      <c r="G247" s="11"/>
      <c r="I247" s="11"/>
      <c r="J247" s="11"/>
      <c r="K247" s="11"/>
      <c r="L247" s="11"/>
      <c r="M247" s="11"/>
      <c r="N247" s="11"/>
      <c r="O247" s="11"/>
      <c r="P247" s="11"/>
      <c r="Q247" s="11"/>
    </row>
    <row r="248" spans="1:17" x14ac:dyDescent="0.25">
      <c r="A248" s="8" cm="1">
        <f t="array" aca="1" ref="A248" ca="1">IF(INDIRECT("'Student_Record 1'!A" &amp; ROW())="", "", INDIRECT("'Student_Record 1'!A" &amp; ROW()))</f>
        <v>9</v>
      </c>
      <c r="B248" s="8" cm="1">
        <f t="array" aca="1" ref="B248" ca="1">IF(INDIRECT("'Student_Record 1'!C" &amp; ROW())="", "", INDIRECT("'Student_Record 1'!C" &amp; ROW()))</f>
        <v>686</v>
      </c>
      <c r="C248" s="8" t="str" cm="1">
        <f t="array" aca="1" ref="C248" ca="1">IF(INDIRECT("'Student_Record 1'!E" &amp; ROW())="", "", INDIRECT("'Student_Record 1'!E" &amp; ROW()))</f>
        <v>JIYA DEVI CHOUDHARY</v>
      </c>
      <c r="D248" s="8" t="str" cm="1">
        <f t="array" aca="1" ref="D248" ca="1">IF(INDIRECT("'Student_Record 1'!G" &amp; ROW())="", "", INDIRECT("'Student_Record 1'!G" &amp; ROW()))</f>
        <v>BHAGCHAND CHOUDHARY</v>
      </c>
      <c r="E248" s="8" t="str" cm="1">
        <f t="array" aca="1" ref="E248" ca="1">IF(INDIRECT("'Student_Record 1'!I" &amp; ROW())="", "", INDIRECT("'Student_Record 1'!I" &amp; ROW()))</f>
        <v>F</v>
      </c>
      <c r="F248" s="8" t="str" cm="1">
        <f t="array" aca="1" ref="F248" ca="1">IF(INDIRECT("'Student_Record 1'!O" &amp; ROW())="", "", INDIRECT("'Student_Record 1'!O" &amp; ROW()))</f>
        <v>OBC</v>
      </c>
      <c r="G248" s="11"/>
      <c r="I248" s="11"/>
      <c r="J248" s="11"/>
      <c r="K248" s="11"/>
      <c r="L248" s="11"/>
      <c r="M248" s="11"/>
      <c r="N248" s="11"/>
      <c r="O248" s="11"/>
      <c r="P248" s="11"/>
      <c r="Q248" s="11"/>
    </row>
    <row r="249" spans="1:17" x14ac:dyDescent="0.25">
      <c r="A249" s="8" cm="1">
        <f t="array" aca="1" ref="A249" ca="1">IF(INDIRECT("'Student_Record 1'!A" &amp; ROW())="", "", INDIRECT("'Student_Record 1'!A" &amp; ROW()))</f>
        <v>9</v>
      </c>
      <c r="B249" s="8" cm="1">
        <f t="array" aca="1" ref="B249" ca="1">IF(INDIRECT("'Student_Record 1'!C" &amp; ROW())="", "", INDIRECT("'Student_Record 1'!C" &amp; ROW()))</f>
        <v>698</v>
      </c>
      <c r="C249" s="8" t="str" cm="1">
        <f t="array" aca="1" ref="C249" ca="1">IF(INDIRECT("'Student_Record 1'!E" &amp; ROW())="", "", INDIRECT("'Student_Record 1'!E" &amp; ROW()))</f>
        <v>Karina Jat</v>
      </c>
      <c r="D249" s="8" t="str" cm="1">
        <f t="array" aca="1" ref="D249" ca="1">IF(INDIRECT("'Student_Record 1'!G" &amp; ROW())="", "", INDIRECT("'Student_Record 1'!G" &amp; ROW()))</f>
        <v>Gopiram Choudhary</v>
      </c>
      <c r="E249" s="8" t="str" cm="1">
        <f t="array" aca="1" ref="E249" ca="1">IF(INDIRECT("'Student_Record 1'!I" &amp; ROW())="", "", INDIRECT("'Student_Record 1'!I" &amp; ROW()))</f>
        <v>F</v>
      </c>
      <c r="F249" s="8" t="str" cm="1">
        <f t="array" aca="1" ref="F249" ca="1">IF(INDIRECT("'Student_Record 1'!O" &amp; ROW())="", "", INDIRECT("'Student_Record 1'!O" &amp; ROW()))</f>
        <v>OBC</v>
      </c>
      <c r="G249" s="11"/>
      <c r="I249" s="11"/>
      <c r="J249" s="11"/>
      <c r="K249" s="11"/>
      <c r="L249" s="11"/>
      <c r="M249" s="11"/>
      <c r="N249" s="11"/>
      <c r="O249" s="11"/>
      <c r="P249" s="11"/>
      <c r="Q249" s="11"/>
    </row>
    <row r="250" spans="1:17" x14ac:dyDescent="0.25">
      <c r="A250" s="8" cm="1">
        <f t="array" aca="1" ref="A250" ca="1">IF(INDIRECT("'Student_Record 1'!A" &amp; ROW())="", "", INDIRECT("'Student_Record 1'!A" &amp; ROW()))</f>
        <v>9</v>
      </c>
      <c r="B250" s="8" cm="1">
        <f t="array" aca="1" ref="B250" ca="1">IF(INDIRECT("'Student_Record 1'!C" &amp; ROW())="", "", INDIRECT("'Student_Record 1'!C" &amp; ROW()))</f>
        <v>349</v>
      </c>
      <c r="C250" s="8" t="str" cm="1">
        <f t="array" aca="1" ref="C250" ca="1">IF(INDIRECT("'Student_Record 1'!E" &amp; ROW())="", "", INDIRECT("'Student_Record 1'!E" &amp; ROW()))</f>
        <v>KHUSHI MEGHWANSHI</v>
      </c>
      <c r="D250" s="8" t="str" cm="1">
        <f t="array" aca="1" ref="D250" ca="1">IF(INDIRECT("'Student_Record 1'!G" &amp; ROW())="", "", INDIRECT("'Student_Record 1'!G" &amp; ROW()))</f>
        <v>RAMDHAN MEGHWANSHI</v>
      </c>
      <c r="E250" s="8" t="str" cm="1">
        <f t="array" aca="1" ref="E250" ca="1">IF(INDIRECT("'Student_Record 1'!I" &amp; ROW())="", "", INDIRECT("'Student_Record 1'!I" &amp; ROW()))</f>
        <v>F</v>
      </c>
      <c r="F250" s="8" t="str" cm="1">
        <f t="array" aca="1" ref="F250" ca="1">IF(INDIRECT("'Student_Record 1'!O" &amp; ROW())="", "", INDIRECT("'Student_Record 1'!O" &amp; ROW()))</f>
        <v>SC</v>
      </c>
      <c r="G250" s="11"/>
      <c r="I250" s="11"/>
      <c r="J250" s="11"/>
      <c r="K250" s="11"/>
      <c r="L250" s="11"/>
      <c r="M250" s="11"/>
      <c r="N250" s="11"/>
      <c r="O250" s="11"/>
      <c r="P250" s="11"/>
      <c r="Q250" s="11"/>
    </row>
    <row r="251" spans="1:17" x14ac:dyDescent="0.25">
      <c r="A251" s="8" cm="1">
        <f t="array" aca="1" ref="A251" ca="1">IF(INDIRECT("'Student_Record 1'!A" &amp; ROW())="", "", INDIRECT("'Student_Record 1'!A" &amp; ROW()))</f>
        <v>9</v>
      </c>
      <c r="B251" s="8" cm="1">
        <f t="array" aca="1" ref="B251" ca="1">IF(INDIRECT("'Student_Record 1'!C" &amp; ROW())="", "", INDIRECT("'Student_Record 1'!C" &amp; ROW()))</f>
        <v>714</v>
      </c>
      <c r="C251" s="8" t="str" cm="1">
        <f t="array" aca="1" ref="C251" ca="1">IF(INDIRECT("'Student_Record 1'!E" &amp; ROW())="", "", INDIRECT("'Student_Record 1'!E" &amp; ROW()))</f>
        <v>Khushi Ram</v>
      </c>
      <c r="D251" s="8" t="str" cm="1">
        <f t="array" aca="1" ref="D251" ca="1">IF(INDIRECT("'Student_Record 1'!G" &amp; ROW())="", "", INDIRECT("'Student_Record 1'!G" &amp; ROW()))</f>
        <v>Shaitan</v>
      </c>
      <c r="E251" s="8" t="str" cm="1">
        <f t="array" aca="1" ref="E251" ca="1">IF(INDIRECT("'Student_Record 1'!I" &amp; ROW())="", "", INDIRECT("'Student_Record 1'!I" &amp; ROW()))</f>
        <v>M</v>
      </c>
      <c r="F251" s="8" t="str" cm="1">
        <f t="array" aca="1" ref="F251" ca="1">IF(INDIRECT("'Student_Record 1'!O" &amp; ROW())="", "", INDIRECT("'Student_Record 1'!O" &amp; ROW()))</f>
        <v>OBC</v>
      </c>
      <c r="G251" s="11"/>
      <c r="I251" s="11"/>
      <c r="J251" s="11"/>
      <c r="K251" s="11"/>
      <c r="L251" s="11"/>
      <c r="M251" s="11"/>
      <c r="N251" s="11"/>
      <c r="O251" s="11"/>
      <c r="P251" s="11"/>
      <c r="Q251" s="11"/>
    </row>
    <row r="252" spans="1:17" x14ac:dyDescent="0.25">
      <c r="A252" s="8" cm="1">
        <f t="array" aca="1" ref="A252" ca="1">IF(INDIRECT("'Student_Record 1'!A" &amp; ROW())="", "", INDIRECT("'Student_Record 1'!A" &amp; ROW()))</f>
        <v>9</v>
      </c>
      <c r="B252" s="8" cm="1">
        <f t="array" aca="1" ref="B252" ca="1">IF(INDIRECT("'Student_Record 1'!C" &amp; ROW())="", "", INDIRECT("'Student_Record 1'!C" &amp; ROW()))</f>
        <v>326</v>
      </c>
      <c r="C252" s="8" t="str" cm="1">
        <f t="array" aca="1" ref="C252" ca="1">IF(INDIRECT("'Student_Record 1'!E" &amp; ROW())="", "", INDIRECT("'Student_Record 1'!E" &amp; ROW()))</f>
        <v>KIRAN RAIDAS</v>
      </c>
      <c r="D252" s="8" t="str" cm="1">
        <f t="array" aca="1" ref="D252" ca="1">IF(INDIRECT("'Student_Record 1'!G" &amp; ROW())="", "", INDIRECT("'Student_Record 1'!G" &amp; ROW()))</f>
        <v>KALU RAM RAIDAS</v>
      </c>
      <c r="E252" s="8" t="str" cm="1">
        <f t="array" aca="1" ref="E252" ca="1">IF(INDIRECT("'Student_Record 1'!I" &amp; ROW())="", "", INDIRECT("'Student_Record 1'!I" &amp; ROW()))</f>
        <v>F</v>
      </c>
      <c r="F252" s="8" t="str" cm="1">
        <f t="array" aca="1" ref="F252" ca="1">IF(INDIRECT("'Student_Record 1'!O" &amp; ROW())="", "", INDIRECT("'Student_Record 1'!O" &amp; ROW()))</f>
        <v>SC</v>
      </c>
      <c r="G252" s="11"/>
      <c r="I252" s="11"/>
      <c r="J252" s="11"/>
      <c r="K252" s="11"/>
      <c r="L252" s="11"/>
      <c r="M252" s="11"/>
      <c r="N252" s="11"/>
      <c r="O252" s="11"/>
      <c r="P252" s="11"/>
      <c r="Q252" s="11"/>
    </row>
    <row r="253" spans="1:17" x14ac:dyDescent="0.25">
      <c r="A253" s="8" cm="1">
        <f t="array" aca="1" ref="A253" ca="1">IF(INDIRECT("'Student_Record 1'!A" &amp; ROW())="", "", INDIRECT("'Student_Record 1'!A" &amp; ROW()))</f>
        <v>9</v>
      </c>
      <c r="B253" s="8" cm="1">
        <f t="array" aca="1" ref="B253" ca="1">IF(INDIRECT("'Student_Record 1'!C" &amp; ROW())="", "", INDIRECT("'Student_Record 1'!C" &amp; ROW()))</f>
        <v>361</v>
      </c>
      <c r="C253" s="8" t="str" cm="1">
        <f t="array" aca="1" ref="C253" ca="1">IF(INDIRECT("'Student_Record 1'!E" &amp; ROW())="", "", INDIRECT("'Student_Record 1'!E" &amp; ROW()))</f>
        <v>LEELA PRAJAPAT</v>
      </c>
      <c r="D253" s="8" t="str" cm="1">
        <f t="array" aca="1" ref="D253" ca="1">IF(INDIRECT("'Student_Record 1'!G" &amp; ROW())="", "", INDIRECT("'Student_Record 1'!G" &amp; ROW()))</f>
        <v>BIRDI CHAND PRAJAPAT</v>
      </c>
      <c r="E253" s="8" t="str" cm="1">
        <f t="array" aca="1" ref="E253" ca="1">IF(INDIRECT("'Student_Record 1'!I" &amp; ROW())="", "", INDIRECT("'Student_Record 1'!I" &amp; ROW()))</f>
        <v>F</v>
      </c>
      <c r="F253" s="8" t="str" cm="1">
        <f t="array" aca="1" ref="F253" ca="1">IF(INDIRECT("'Student_Record 1'!O" &amp; ROW())="", "", INDIRECT("'Student_Record 1'!O" &amp; ROW()))</f>
        <v>OBC</v>
      </c>
      <c r="G253" s="11"/>
      <c r="I253" s="11"/>
      <c r="J253" s="11"/>
      <c r="K253" s="11"/>
      <c r="L253" s="11"/>
      <c r="M253" s="11"/>
      <c r="N253" s="11"/>
      <c r="O253" s="11"/>
      <c r="P253" s="11"/>
      <c r="Q253" s="11"/>
    </row>
    <row r="254" spans="1:17" x14ac:dyDescent="0.25">
      <c r="A254" s="8" cm="1">
        <f t="array" aca="1" ref="A254" ca="1">IF(INDIRECT("'Student_Record 1'!A" &amp; ROW())="", "", INDIRECT("'Student_Record 1'!A" &amp; ROW()))</f>
        <v>9</v>
      </c>
      <c r="B254" s="8" cm="1">
        <f t="array" aca="1" ref="B254" ca="1">IF(INDIRECT("'Student_Record 1'!C" &amp; ROW())="", "", INDIRECT("'Student_Record 1'!C" &amp; ROW()))</f>
        <v>517</v>
      </c>
      <c r="C254" s="8" t="str" cm="1">
        <f t="array" aca="1" ref="C254" ca="1">IF(INDIRECT("'Student_Record 1'!E" &amp; ROW())="", "", INDIRECT("'Student_Record 1'!E" &amp; ROW()))</f>
        <v>MAHENDRA CHOUDHARY</v>
      </c>
      <c r="D254" s="8" t="str" cm="1">
        <f t="array" aca="1" ref="D254" ca="1">IF(INDIRECT("'Student_Record 1'!G" &amp; ROW())="", "", INDIRECT("'Student_Record 1'!G" &amp; ROW()))</f>
        <v>SHYOJI CHOUDHARY</v>
      </c>
      <c r="E254" s="8" t="str" cm="1">
        <f t="array" aca="1" ref="E254" ca="1">IF(INDIRECT("'Student_Record 1'!I" &amp; ROW())="", "", INDIRECT("'Student_Record 1'!I" &amp; ROW()))</f>
        <v>M</v>
      </c>
      <c r="F254" s="8" t="str" cm="1">
        <f t="array" aca="1" ref="F254" ca="1">IF(INDIRECT("'Student_Record 1'!O" &amp; ROW())="", "", INDIRECT("'Student_Record 1'!O" &amp; ROW()))</f>
        <v>OBC</v>
      </c>
      <c r="G254" s="11"/>
      <c r="I254" s="11"/>
      <c r="J254" s="11"/>
      <c r="K254" s="11"/>
      <c r="L254" s="11"/>
      <c r="M254" s="11"/>
      <c r="N254" s="11"/>
      <c r="O254" s="11"/>
      <c r="P254" s="11"/>
      <c r="Q254" s="11"/>
    </row>
    <row r="255" spans="1:17" x14ac:dyDescent="0.25">
      <c r="A255" s="8" cm="1">
        <f t="array" aca="1" ref="A255" ca="1">IF(INDIRECT("'Student_Record 1'!A" &amp; ROW())="", "", INDIRECT("'Student_Record 1'!A" &amp; ROW()))</f>
        <v>9</v>
      </c>
      <c r="B255" s="8" cm="1">
        <f t="array" aca="1" ref="B255" ca="1">IF(INDIRECT("'Student_Record 1'!C" &amp; ROW())="", "", INDIRECT("'Student_Record 1'!C" &amp; ROW()))</f>
        <v>343</v>
      </c>
      <c r="C255" s="8" t="str" cm="1">
        <f t="array" aca="1" ref="C255" ca="1">IF(INDIRECT("'Student_Record 1'!E" &amp; ROW())="", "", INDIRECT("'Student_Record 1'!E" &amp; ROW()))</f>
        <v>MAHENDRA CHOUDHARY</v>
      </c>
      <c r="D255" s="8" t="str" cm="1">
        <f t="array" aca="1" ref="D255" ca="1">IF(INDIRECT("'Student_Record 1'!G" &amp; ROW())="", "", INDIRECT("'Student_Record 1'!G" &amp; ROW()))</f>
        <v>HETRAM CHOUDHARY</v>
      </c>
      <c r="E255" s="8" t="str" cm="1">
        <f t="array" aca="1" ref="E255" ca="1">IF(INDIRECT("'Student_Record 1'!I" &amp; ROW())="", "", INDIRECT("'Student_Record 1'!I" &amp; ROW()))</f>
        <v>M</v>
      </c>
      <c r="F255" s="8" t="str" cm="1">
        <f t="array" aca="1" ref="F255" ca="1">IF(INDIRECT("'Student_Record 1'!O" &amp; ROW())="", "", INDIRECT("'Student_Record 1'!O" &amp; ROW()))</f>
        <v>OBC</v>
      </c>
      <c r="G255" s="11"/>
      <c r="I255" s="11"/>
      <c r="J255" s="11"/>
      <c r="K255" s="11"/>
      <c r="L255" s="11"/>
      <c r="M255" s="11"/>
      <c r="N255" s="11"/>
      <c r="O255" s="11"/>
      <c r="P255" s="11"/>
      <c r="Q255" s="11"/>
    </row>
    <row r="256" spans="1:17" x14ac:dyDescent="0.25">
      <c r="A256" s="8" cm="1">
        <f t="array" aca="1" ref="A256" ca="1">IF(INDIRECT("'Student_Record 1'!A" &amp; ROW())="", "", INDIRECT("'Student_Record 1'!A" &amp; ROW()))</f>
        <v>9</v>
      </c>
      <c r="B256" s="8" cm="1">
        <f t="array" aca="1" ref="B256" ca="1">IF(INDIRECT("'Student_Record 1'!C" &amp; ROW())="", "", INDIRECT("'Student_Record 1'!C" &amp; ROW()))</f>
        <v>741</v>
      </c>
      <c r="C256" s="8" t="str" cm="1">
        <f t="array" aca="1" ref="C256" ca="1">IF(INDIRECT("'Student_Record 1'!E" &amp; ROW())="", "", INDIRECT("'Student_Record 1'!E" &amp; ROW()))</f>
        <v>Mallika</v>
      </c>
      <c r="D256" s="8" t="str" cm="1">
        <f t="array" aca="1" ref="D256" ca="1">IF(INDIRECT("'Student_Record 1'!G" &amp; ROW())="", "", INDIRECT("'Student_Record 1'!G" &amp; ROW()))</f>
        <v>Kaluram Choudhary</v>
      </c>
      <c r="E256" s="8" t="str" cm="1">
        <f t="array" aca="1" ref="E256" ca="1">IF(INDIRECT("'Student_Record 1'!I" &amp; ROW())="", "", INDIRECT("'Student_Record 1'!I" &amp; ROW()))</f>
        <v>F</v>
      </c>
      <c r="F256" s="8" t="str" cm="1">
        <f t="array" aca="1" ref="F256" ca="1">IF(INDIRECT("'Student_Record 1'!O" &amp; ROW())="", "", INDIRECT("'Student_Record 1'!O" &amp; ROW()))</f>
        <v>OBC</v>
      </c>
      <c r="G256" s="11"/>
      <c r="I256" s="11"/>
      <c r="J256" s="11"/>
      <c r="K256" s="11"/>
      <c r="L256" s="11"/>
      <c r="M256" s="11"/>
      <c r="N256" s="11"/>
      <c r="O256" s="11"/>
      <c r="P256" s="11"/>
      <c r="Q256" s="11"/>
    </row>
    <row r="257" spans="1:17" x14ac:dyDescent="0.25">
      <c r="A257" s="8" cm="1">
        <f t="array" aca="1" ref="A257" ca="1">IF(INDIRECT("'Student_Record 1'!A" &amp; ROW())="", "", INDIRECT("'Student_Record 1'!A" &amp; ROW()))</f>
        <v>9</v>
      </c>
      <c r="B257" s="8" cm="1">
        <f t="array" aca="1" ref="B257" ca="1">IF(INDIRECT("'Student_Record 1'!C" &amp; ROW())="", "", INDIRECT("'Student_Record 1'!C" &amp; ROW()))</f>
        <v>505</v>
      </c>
      <c r="C257" s="8" t="str" cm="1">
        <f t="array" aca="1" ref="C257" ca="1">IF(INDIRECT("'Student_Record 1'!E" &amp; ROW())="", "", INDIRECT("'Student_Record 1'!E" &amp; ROW()))</f>
        <v>MAMTA JAT</v>
      </c>
      <c r="D257" s="8" t="str" cm="1">
        <f t="array" aca="1" ref="D257" ca="1">IF(INDIRECT("'Student_Record 1'!G" &amp; ROW())="", "", INDIRECT("'Student_Record 1'!G" &amp; ROW()))</f>
        <v>KANARAM JAT</v>
      </c>
      <c r="E257" s="8" t="str" cm="1">
        <f t="array" aca="1" ref="E257" ca="1">IF(INDIRECT("'Student_Record 1'!I" &amp; ROW())="", "", INDIRECT("'Student_Record 1'!I" &amp; ROW()))</f>
        <v>F</v>
      </c>
      <c r="F257" s="8" t="str" cm="1">
        <f t="array" aca="1" ref="F257" ca="1">IF(INDIRECT("'Student_Record 1'!O" &amp; ROW())="", "", INDIRECT("'Student_Record 1'!O" &amp; ROW()))</f>
        <v>OBC</v>
      </c>
      <c r="G257" s="11"/>
      <c r="I257" s="11"/>
      <c r="J257" s="11"/>
      <c r="K257" s="11"/>
      <c r="L257" s="11"/>
      <c r="M257" s="11"/>
      <c r="N257" s="11"/>
      <c r="O257" s="11"/>
      <c r="P257" s="11"/>
      <c r="Q257" s="11"/>
    </row>
    <row r="258" spans="1:17" x14ac:dyDescent="0.25">
      <c r="A258" s="8" cm="1">
        <f t="array" aca="1" ref="A258" ca="1">IF(INDIRECT("'Student_Record 1'!A" &amp; ROW())="", "", INDIRECT("'Student_Record 1'!A" &amp; ROW()))</f>
        <v>9</v>
      </c>
      <c r="B258" s="8" cm="1">
        <f t="array" aca="1" ref="B258" ca="1">IF(INDIRECT("'Student_Record 1'!C" &amp; ROW())="", "", INDIRECT("'Student_Record 1'!C" &amp; ROW()))</f>
        <v>911</v>
      </c>
      <c r="C258" s="8" t="str" cm="1">
        <f t="array" aca="1" ref="C258" ca="1">IF(INDIRECT("'Student_Record 1'!E" &amp; ROW())="", "", INDIRECT("'Student_Record 1'!E" &amp; ROW()))</f>
        <v>MANSHA JAT</v>
      </c>
      <c r="D258" s="8" t="str" cm="1">
        <f t="array" aca="1" ref="D258" ca="1">IF(INDIRECT("'Student_Record 1'!G" &amp; ROW())="", "", INDIRECT("'Student_Record 1'!G" &amp; ROW()))</f>
        <v>PRASANN CHOUDHARY</v>
      </c>
      <c r="E258" s="8" t="str" cm="1">
        <f t="array" aca="1" ref="E258" ca="1">IF(INDIRECT("'Student_Record 1'!I" &amp; ROW())="", "", INDIRECT("'Student_Record 1'!I" &amp; ROW()))</f>
        <v>F</v>
      </c>
      <c r="F258" s="8" t="str" cm="1">
        <f t="array" aca="1" ref="F258" ca="1">IF(INDIRECT("'Student_Record 1'!O" &amp; ROW())="", "", INDIRECT("'Student_Record 1'!O" &amp; ROW()))</f>
        <v>OBC</v>
      </c>
      <c r="G258" s="11"/>
      <c r="I258" s="11"/>
      <c r="J258" s="11"/>
      <c r="K258" s="11"/>
      <c r="L258" s="11"/>
      <c r="M258" s="11"/>
      <c r="N258" s="11"/>
      <c r="O258" s="11"/>
      <c r="P258" s="11"/>
      <c r="Q258" s="11"/>
    </row>
    <row r="259" spans="1:17" x14ac:dyDescent="0.25">
      <c r="A259" s="8" cm="1">
        <f t="array" aca="1" ref="A259" ca="1">IF(INDIRECT("'Student_Record 1'!A" &amp; ROW())="", "", INDIRECT("'Student_Record 1'!A" &amp; ROW()))</f>
        <v>9</v>
      </c>
      <c r="B259" s="8" cm="1">
        <f t="array" aca="1" ref="B259" ca="1">IF(INDIRECT("'Student_Record 1'!C" &amp; ROW())="", "", INDIRECT("'Student_Record 1'!C" &amp; ROW()))</f>
        <v>522</v>
      </c>
      <c r="C259" s="8" t="str" cm="1">
        <f t="array" aca="1" ref="C259" ca="1">IF(INDIRECT("'Student_Record 1'!E" &amp; ROW())="", "", INDIRECT("'Student_Record 1'!E" &amp; ROW()))</f>
        <v>MOHAN DEVI</v>
      </c>
      <c r="D259" s="8" t="str" cm="1">
        <f t="array" aca="1" ref="D259" ca="1">IF(INDIRECT("'Student_Record 1'!G" &amp; ROW())="", "", INDIRECT("'Student_Record 1'!G" &amp; ROW()))</f>
        <v>RAMDEV CHOUDHARY</v>
      </c>
      <c r="E259" s="8" t="str" cm="1">
        <f t="array" aca="1" ref="E259" ca="1">IF(INDIRECT("'Student_Record 1'!I" &amp; ROW())="", "", INDIRECT("'Student_Record 1'!I" &amp; ROW()))</f>
        <v>F</v>
      </c>
      <c r="F259" s="8" t="str" cm="1">
        <f t="array" aca="1" ref="F259" ca="1">IF(INDIRECT("'Student_Record 1'!O" &amp; ROW())="", "", INDIRECT("'Student_Record 1'!O" &amp; ROW()))</f>
        <v>OBC</v>
      </c>
      <c r="G259" s="11"/>
      <c r="I259" s="11"/>
      <c r="J259" s="11"/>
      <c r="K259" s="11"/>
      <c r="L259" s="11"/>
      <c r="M259" s="11"/>
      <c r="N259" s="11"/>
      <c r="O259" s="11"/>
      <c r="P259" s="11"/>
      <c r="Q259" s="11"/>
    </row>
    <row r="260" spans="1:17" x14ac:dyDescent="0.25">
      <c r="A260" s="8" cm="1">
        <f t="array" aca="1" ref="A260" ca="1">IF(INDIRECT("'Student_Record 1'!A" &amp; ROW())="", "", INDIRECT("'Student_Record 1'!A" &amp; ROW()))</f>
        <v>9</v>
      </c>
      <c r="B260" s="8" cm="1">
        <f t="array" aca="1" ref="B260" ca="1">IF(INDIRECT("'Student_Record 1'!C" &amp; ROW())="", "", INDIRECT("'Student_Record 1'!C" &amp; ROW()))</f>
        <v>904</v>
      </c>
      <c r="C260" s="8" t="str" cm="1">
        <f t="array" aca="1" ref="C260" ca="1">IF(INDIRECT("'Student_Record 1'!E" &amp; ROW())="", "", INDIRECT("'Student_Record 1'!E" &amp; ROW()))</f>
        <v>Naraj</v>
      </c>
      <c r="D260" s="8" t="str" cm="1">
        <f t="array" aca="1" ref="D260" ca="1">IF(INDIRECT("'Student_Record 1'!G" &amp; ROW())="", "", INDIRECT("'Student_Record 1'!G" &amp; ROW()))</f>
        <v>Ramgopal</v>
      </c>
      <c r="E260" s="8" t="str" cm="1">
        <f t="array" aca="1" ref="E260" ca="1">IF(INDIRECT("'Student_Record 1'!I" &amp; ROW())="", "", INDIRECT("'Student_Record 1'!I" &amp; ROW()))</f>
        <v>F</v>
      </c>
      <c r="F260" s="8" t="str" cm="1">
        <f t="array" aca="1" ref="F260" ca="1">IF(INDIRECT("'Student_Record 1'!O" &amp; ROW())="", "", INDIRECT("'Student_Record 1'!O" &amp; ROW()))</f>
        <v>OBC</v>
      </c>
      <c r="G260" s="11"/>
      <c r="I260" s="11"/>
      <c r="J260" s="11"/>
      <c r="K260" s="11"/>
      <c r="L260" s="11"/>
      <c r="M260" s="11"/>
      <c r="N260" s="11"/>
      <c r="O260" s="11"/>
      <c r="P260" s="11"/>
      <c r="Q260" s="11"/>
    </row>
    <row r="261" spans="1:17" x14ac:dyDescent="0.25">
      <c r="A261" s="8" cm="1">
        <f t="array" aca="1" ref="A261" ca="1">IF(INDIRECT("'Student_Record 1'!A" &amp; ROW())="", "", INDIRECT("'Student_Record 1'!A" &amp; ROW()))</f>
        <v>9</v>
      </c>
      <c r="B261" s="8" cm="1">
        <f t="array" aca="1" ref="B261" ca="1">IF(INDIRECT("'Student_Record 1'!C" &amp; ROW())="", "", INDIRECT("'Student_Record 1'!C" &amp; ROW()))</f>
        <v>390</v>
      </c>
      <c r="C261" s="8" t="str" cm="1">
        <f t="array" aca="1" ref="C261" ca="1">IF(INDIRECT("'Student_Record 1'!E" &amp; ROW())="", "", INDIRECT("'Student_Record 1'!E" &amp; ROW()))</f>
        <v>POOJA CHOUDHARY</v>
      </c>
      <c r="D261" s="8" t="str" cm="1">
        <f t="array" aca="1" ref="D261" ca="1">IF(INDIRECT("'Student_Record 1'!G" &amp; ROW())="", "", INDIRECT("'Student_Record 1'!G" &amp; ROW()))</f>
        <v>SONARAYAN CHOUDHARY</v>
      </c>
      <c r="E261" s="8" t="str" cm="1">
        <f t="array" aca="1" ref="E261" ca="1">IF(INDIRECT("'Student_Record 1'!I" &amp; ROW())="", "", INDIRECT("'Student_Record 1'!I" &amp; ROW()))</f>
        <v>F</v>
      </c>
      <c r="F261" s="8" t="str" cm="1">
        <f t="array" aca="1" ref="F261" ca="1">IF(INDIRECT("'Student_Record 1'!O" &amp; ROW())="", "", INDIRECT("'Student_Record 1'!O" &amp; ROW()))</f>
        <v>OBC</v>
      </c>
      <c r="G261" s="11"/>
      <c r="I261" s="11"/>
      <c r="J261" s="11"/>
      <c r="K261" s="11"/>
      <c r="L261" s="11"/>
      <c r="M261" s="11"/>
      <c r="N261" s="11"/>
      <c r="O261" s="11"/>
      <c r="P261" s="11"/>
      <c r="Q261" s="11"/>
    </row>
    <row r="262" spans="1:17" ht="30" x14ac:dyDescent="0.25">
      <c r="A262" s="8" cm="1">
        <f t="array" aca="1" ref="A262" ca="1">IF(INDIRECT("'Student_Record 1'!A" &amp; ROW())="", "", INDIRECT("'Student_Record 1'!A" &amp; ROW()))</f>
        <v>9</v>
      </c>
      <c r="B262" s="8" cm="1">
        <f t="array" aca="1" ref="B262" ca="1">IF(INDIRECT("'Student_Record 1'!C" &amp; ROW())="", "", INDIRECT("'Student_Record 1'!C" &amp; ROW()))</f>
        <v>687</v>
      </c>
      <c r="C262" s="8" t="str" cm="1">
        <f t="array" aca="1" ref="C262" ca="1">IF(INDIRECT("'Student_Record 1'!E" &amp; ROW())="", "", INDIRECT("'Student_Record 1'!E" &amp; ROW()))</f>
        <v>PRIYANKA DEVI MEGHWANSHI</v>
      </c>
      <c r="D262" s="8" t="str" cm="1">
        <f t="array" aca="1" ref="D262" ca="1">IF(INDIRECT("'Student_Record 1'!G" &amp; ROW())="", "", INDIRECT("'Student_Record 1'!G" &amp; ROW()))</f>
        <v>RAJU MEGHWANSHI</v>
      </c>
      <c r="E262" s="8" t="str" cm="1">
        <f t="array" aca="1" ref="E262" ca="1">IF(INDIRECT("'Student_Record 1'!I" &amp; ROW())="", "", INDIRECT("'Student_Record 1'!I" &amp; ROW()))</f>
        <v>F</v>
      </c>
      <c r="F262" s="8" t="str" cm="1">
        <f t="array" aca="1" ref="F262" ca="1">IF(INDIRECT("'Student_Record 1'!O" &amp; ROW())="", "", INDIRECT("'Student_Record 1'!O" &amp; ROW()))</f>
        <v>SC</v>
      </c>
      <c r="G262" s="11"/>
      <c r="I262" s="11"/>
      <c r="J262" s="11"/>
      <c r="K262" s="11"/>
      <c r="L262" s="11"/>
      <c r="M262" s="11"/>
      <c r="N262" s="11"/>
      <c r="O262" s="11"/>
      <c r="P262" s="11"/>
      <c r="Q262" s="11"/>
    </row>
    <row r="263" spans="1:17" x14ac:dyDescent="0.25">
      <c r="A263" s="8" cm="1">
        <f t="array" aca="1" ref="A263" ca="1">IF(INDIRECT("'Student_Record 1'!A" &amp; ROW())="", "", INDIRECT("'Student_Record 1'!A" &amp; ROW()))</f>
        <v>9</v>
      </c>
      <c r="B263" s="8" cm="1">
        <f t="array" aca="1" ref="B263" ca="1">IF(INDIRECT("'Student_Record 1'!C" &amp; ROW())="", "", INDIRECT("'Student_Record 1'!C" &amp; ROW()))</f>
        <v>329</v>
      </c>
      <c r="C263" s="8" t="str" cm="1">
        <f t="array" aca="1" ref="C263" ca="1">IF(INDIRECT("'Student_Record 1'!E" &amp; ROW())="", "", INDIRECT("'Student_Record 1'!E" &amp; ROW()))</f>
        <v>PRIYANKA PRAJAPAT</v>
      </c>
      <c r="D263" s="8" t="str" cm="1">
        <f t="array" aca="1" ref="D263" ca="1">IF(INDIRECT("'Student_Record 1'!G" &amp; ROW())="", "", INDIRECT("'Student_Record 1'!G" &amp; ROW()))</f>
        <v>GANESH PRAJAPAT</v>
      </c>
      <c r="E263" s="8" t="str" cm="1">
        <f t="array" aca="1" ref="E263" ca="1">IF(INDIRECT("'Student_Record 1'!I" &amp; ROW())="", "", INDIRECT("'Student_Record 1'!I" &amp; ROW()))</f>
        <v>F</v>
      </c>
      <c r="F263" s="8" t="str" cm="1">
        <f t="array" aca="1" ref="F263" ca="1">IF(INDIRECT("'Student_Record 1'!O" &amp; ROW())="", "", INDIRECT("'Student_Record 1'!O" &amp; ROW()))</f>
        <v>OBC</v>
      </c>
      <c r="G263" s="11"/>
      <c r="I263" s="11"/>
      <c r="J263" s="11"/>
      <c r="K263" s="11"/>
      <c r="L263" s="11"/>
      <c r="M263" s="11"/>
      <c r="N263" s="11"/>
      <c r="O263" s="11"/>
      <c r="P263" s="11"/>
      <c r="Q263" s="11"/>
    </row>
    <row r="264" spans="1:17" x14ac:dyDescent="0.25">
      <c r="A264" s="8" cm="1">
        <f t="array" aca="1" ref="A264" ca="1">IF(INDIRECT("'Student_Record 1'!A" &amp; ROW())="", "", INDIRECT("'Student_Record 1'!A" &amp; ROW()))</f>
        <v>9</v>
      </c>
      <c r="B264" s="8" cm="1">
        <f t="array" aca="1" ref="B264" ca="1">IF(INDIRECT("'Student_Record 1'!C" &amp; ROW())="", "", INDIRECT("'Student_Record 1'!C" &amp; ROW()))</f>
        <v>913</v>
      </c>
      <c r="C264" s="8" t="str" cm="1">
        <f t="array" aca="1" ref="C264" ca="1">IF(INDIRECT("'Student_Record 1'!E" &amp; ROW())="", "", INDIRECT("'Student_Record 1'!E" &amp; ROW()))</f>
        <v>PUKHRAJ BHEEL</v>
      </c>
      <c r="D264" s="8" t="str" cm="1">
        <f t="array" aca="1" ref="D264" ca="1">IF(INDIRECT("'Student_Record 1'!G" &amp; ROW())="", "", INDIRECT("'Student_Record 1'!G" &amp; ROW()))</f>
        <v>RAMESHWAR BHEEL</v>
      </c>
      <c r="E264" s="8" t="str" cm="1">
        <f t="array" aca="1" ref="E264" ca="1">IF(INDIRECT("'Student_Record 1'!I" &amp; ROW())="", "", INDIRECT("'Student_Record 1'!I" &amp; ROW()))</f>
        <v>M</v>
      </c>
      <c r="F264" s="8" t="str" cm="1">
        <f t="array" aca="1" ref="F264" ca="1">IF(INDIRECT("'Student_Record 1'!O" &amp; ROW())="", "", INDIRECT("'Student_Record 1'!O" &amp; ROW()))</f>
        <v>ST</v>
      </c>
      <c r="G264" s="11"/>
      <c r="I264" s="11"/>
      <c r="J264" s="11"/>
      <c r="K264" s="11"/>
      <c r="L264" s="11"/>
      <c r="M264" s="11"/>
      <c r="N264" s="11"/>
      <c r="O264" s="11"/>
      <c r="P264" s="11"/>
      <c r="Q264" s="11"/>
    </row>
    <row r="265" spans="1:17" x14ac:dyDescent="0.25">
      <c r="A265" s="8" cm="1">
        <f t="array" aca="1" ref="A265" ca="1">IF(INDIRECT("'Student_Record 1'!A" &amp; ROW())="", "", INDIRECT("'Student_Record 1'!A" &amp; ROW()))</f>
        <v>9</v>
      </c>
      <c r="B265" s="8" cm="1">
        <f t="array" aca="1" ref="B265" ca="1">IF(INDIRECT("'Student_Record 1'!C" &amp; ROW())="", "", INDIRECT("'Student_Record 1'!C" &amp; ROW()))</f>
        <v>856</v>
      </c>
      <c r="C265" s="8" t="str" cm="1">
        <f t="array" aca="1" ref="C265" ca="1">IF(INDIRECT("'Student_Record 1'!E" &amp; ROW())="", "", INDIRECT("'Student_Record 1'!E" &amp; ROW()))</f>
        <v>Rahul Choudhary</v>
      </c>
      <c r="D265" s="8" t="str" cm="1">
        <f t="array" aca="1" ref="D265" ca="1">IF(INDIRECT("'Student_Record 1'!G" &amp; ROW())="", "", INDIRECT("'Student_Record 1'!G" &amp; ROW()))</f>
        <v>Ramchandar Jat</v>
      </c>
      <c r="E265" s="8" t="str" cm="1">
        <f t="array" aca="1" ref="E265" ca="1">IF(INDIRECT("'Student_Record 1'!I" &amp; ROW())="", "", INDIRECT("'Student_Record 1'!I" &amp; ROW()))</f>
        <v>M</v>
      </c>
      <c r="F265" s="8" t="str" cm="1">
        <f t="array" aca="1" ref="F265" ca="1">IF(INDIRECT("'Student_Record 1'!O" &amp; ROW())="", "", INDIRECT("'Student_Record 1'!O" &amp; ROW()))</f>
        <v>OBC</v>
      </c>
      <c r="G265" s="11"/>
      <c r="I265" s="11"/>
      <c r="J265" s="11"/>
      <c r="K265" s="11"/>
      <c r="L265" s="11"/>
      <c r="M265" s="11"/>
      <c r="N265" s="11"/>
      <c r="O265" s="11"/>
      <c r="P265" s="11"/>
      <c r="Q265" s="11"/>
    </row>
    <row r="266" spans="1:17" x14ac:dyDescent="0.25">
      <c r="A266" s="8" cm="1">
        <f t="array" aca="1" ref="A266" ca="1">IF(INDIRECT("'Student_Record 1'!A" &amp; ROW())="", "", INDIRECT("'Student_Record 1'!A" &amp; ROW()))</f>
        <v>9</v>
      </c>
      <c r="B266" s="8" cm="1">
        <f t="array" aca="1" ref="B266" ca="1">IF(INDIRECT("'Student_Record 1'!C" &amp; ROW())="", "", INDIRECT("'Student_Record 1'!C" &amp; ROW()))</f>
        <v>325</v>
      </c>
      <c r="C266" s="8" t="str" cm="1">
        <f t="array" aca="1" ref="C266" ca="1">IF(INDIRECT("'Student_Record 1'!E" &amp; ROW())="", "", INDIRECT("'Student_Record 1'!E" &amp; ROW()))</f>
        <v>RAM SINGH JAT</v>
      </c>
      <c r="D266" s="8" t="str" cm="1">
        <f t="array" aca="1" ref="D266" ca="1">IF(INDIRECT("'Student_Record 1'!G" &amp; ROW())="", "", INDIRECT("'Student_Record 1'!G" &amp; ROW()))</f>
        <v>MISHRI JAT</v>
      </c>
      <c r="E266" s="8" t="str" cm="1">
        <f t="array" aca="1" ref="E266" ca="1">IF(INDIRECT("'Student_Record 1'!I" &amp; ROW())="", "", INDIRECT("'Student_Record 1'!I" &amp; ROW()))</f>
        <v>M</v>
      </c>
      <c r="F266" s="8" t="str" cm="1">
        <f t="array" aca="1" ref="F266" ca="1">IF(INDIRECT("'Student_Record 1'!O" &amp; ROW())="", "", INDIRECT("'Student_Record 1'!O" &amp; ROW()))</f>
        <v>OBC</v>
      </c>
      <c r="G266" s="11"/>
      <c r="I266" s="11"/>
      <c r="J266" s="11"/>
      <c r="K266" s="11"/>
      <c r="L266" s="11"/>
      <c r="M266" s="11"/>
      <c r="N266" s="11"/>
      <c r="O266" s="11"/>
      <c r="P266" s="11"/>
      <c r="Q266" s="11"/>
    </row>
    <row r="267" spans="1:17" x14ac:dyDescent="0.25">
      <c r="A267" s="8" cm="1">
        <f t="array" aca="1" ref="A267" ca="1">IF(INDIRECT("'Student_Record 1'!A" &amp; ROW())="", "", INDIRECT("'Student_Record 1'!A" &amp; ROW()))</f>
        <v>9</v>
      </c>
      <c r="B267" s="8" cm="1">
        <f t="array" aca="1" ref="B267" ca="1">IF(INDIRECT("'Student_Record 1'!C" &amp; ROW())="", "", INDIRECT("'Student_Record 1'!C" &amp; ROW()))</f>
        <v>742</v>
      </c>
      <c r="C267" s="8" t="str" cm="1">
        <f t="array" aca="1" ref="C267" ca="1">IF(INDIRECT("'Student_Record 1'!E" &amp; ROW())="", "", INDIRECT("'Student_Record 1'!E" &amp; ROW()))</f>
        <v>RASILA DEVI CHOUDHARY</v>
      </c>
      <c r="D267" s="8" t="str" cm="1">
        <f t="array" aca="1" ref="D267" ca="1">IF(INDIRECT("'Student_Record 1'!G" &amp; ROW())="", "", INDIRECT("'Student_Record 1'!G" &amp; ROW()))</f>
        <v>KANARAM</v>
      </c>
      <c r="E267" s="8" t="str" cm="1">
        <f t="array" aca="1" ref="E267" ca="1">IF(INDIRECT("'Student_Record 1'!I" &amp; ROW())="", "", INDIRECT("'Student_Record 1'!I" &amp; ROW()))</f>
        <v>F</v>
      </c>
      <c r="F267" s="8" t="str" cm="1">
        <f t="array" aca="1" ref="F267" ca="1">IF(INDIRECT("'Student_Record 1'!O" &amp; ROW())="", "", INDIRECT("'Student_Record 1'!O" &amp; ROW()))</f>
        <v>OBC</v>
      </c>
      <c r="G267" s="11"/>
      <c r="I267" s="11"/>
      <c r="J267" s="11"/>
      <c r="K267" s="11"/>
      <c r="L267" s="11"/>
      <c r="M267" s="11"/>
      <c r="N267" s="11"/>
      <c r="O267" s="11"/>
      <c r="P267" s="11"/>
      <c r="Q267" s="11"/>
    </row>
    <row r="268" spans="1:17" x14ac:dyDescent="0.25">
      <c r="A268" s="8" cm="1">
        <f t="array" aca="1" ref="A268" ca="1">IF(INDIRECT("'Student_Record 1'!A" &amp; ROW())="", "", INDIRECT("'Student_Record 1'!A" &amp; ROW()))</f>
        <v>9</v>
      </c>
      <c r="B268" s="8" cm="1">
        <f t="array" aca="1" ref="B268" ca="1">IF(INDIRECT("'Student_Record 1'!C" &amp; ROW())="", "", INDIRECT("'Student_Record 1'!C" &amp; ROW()))</f>
        <v>523</v>
      </c>
      <c r="C268" s="8" t="str" cm="1">
        <f t="array" aca="1" ref="C268" ca="1">IF(INDIRECT("'Student_Record 1'!E" &amp; ROW())="", "", INDIRECT("'Student_Record 1'!E" &amp; ROW()))</f>
        <v>REENA JAT</v>
      </c>
      <c r="D268" s="8" t="str" cm="1">
        <f t="array" aca="1" ref="D268" ca="1">IF(INDIRECT("'Student_Record 1'!G" &amp; ROW())="", "", INDIRECT("'Student_Record 1'!G" &amp; ROW()))</f>
        <v>KALU RAM JAT</v>
      </c>
      <c r="E268" s="8" t="str" cm="1">
        <f t="array" aca="1" ref="E268" ca="1">IF(INDIRECT("'Student_Record 1'!I" &amp; ROW())="", "", INDIRECT("'Student_Record 1'!I" &amp; ROW()))</f>
        <v>F</v>
      </c>
      <c r="F268" s="8" t="str" cm="1">
        <f t="array" aca="1" ref="F268" ca="1">IF(INDIRECT("'Student_Record 1'!O" &amp; ROW())="", "", INDIRECT("'Student_Record 1'!O" &amp; ROW()))</f>
        <v>OBC</v>
      </c>
      <c r="G268" s="11"/>
      <c r="I268" s="11"/>
      <c r="J268" s="11"/>
      <c r="K268" s="11"/>
      <c r="L268" s="11"/>
      <c r="M268" s="11"/>
      <c r="N268" s="11"/>
      <c r="O268" s="11"/>
      <c r="P268" s="11"/>
      <c r="Q268" s="11"/>
    </row>
    <row r="269" spans="1:17" x14ac:dyDescent="0.25">
      <c r="A269" s="8" cm="1">
        <f t="array" aca="1" ref="A269" ca="1">IF(INDIRECT("'Student_Record 1'!A" &amp; ROW())="", "", INDIRECT("'Student_Record 1'!A" &amp; ROW()))</f>
        <v>9</v>
      </c>
      <c r="B269" s="8" cm="1">
        <f t="array" aca="1" ref="B269" ca="1">IF(INDIRECT("'Student_Record 1'!C" &amp; ROW())="", "", INDIRECT("'Student_Record 1'!C" &amp; ROW()))</f>
        <v>697</v>
      </c>
      <c r="C269" s="8" t="str" cm="1">
        <f t="array" aca="1" ref="C269" ca="1">IF(INDIRECT("'Student_Record 1'!E" &amp; ROW())="", "", INDIRECT("'Student_Record 1'!E" &amp; ROW()))</f>
        <v>Rohit</v>
      </c>
      <c r="D269" s="8" t="str" cm="1">
        <f t="array" aca="1" ref="D269" ca="1">IF(INDIRECT("'Student_Record 1'!G" &amp; ROW())="", "", INDIRECT("'Student_Record 1'!G" &amp; ROW()))</f>
        <v>Shyojiram Jat</v>
      </c>
      <c r="E269" s="8" t="str" cm="1">
        <f t="array" aca="1" ref="E269" ca="1">IF(INDIRECT("'Student_Record 1'!I" &amp; ROW())="", "", INDIRECT("'Student_Record 1'!I" &amp; ROW()))</f>
        <v>M</v>
      </c>
      <c r="F269" s="8" t="str" cm="1">
        <f t="array" aca="1" ref="F269" ca="1">IF(INDIRECT("'Student_Record 1'!O" &amp; ROW())="", "", INDIRECT("'Student_Record 1'!O" &amp; ROW()))</f>
        <v>OBC</v>
      </c>
      <c r="G269" s="11"/>
      <c r="I269" s="11"/>
      <c r="J269" s="11"/>
      <c r="K269" s="11"/>
      <c r="L269" s="11"/>
      <c r="M269" s="11"/>
      <c r="N269" s="11"/>
      <c r="O269" s="11"/>
      <c r="P269" s="11"/>
      <c r="Q269" s="11"/>
    </row>
    <row r="270" spans="1:17" x14ac:dyDescent="0.25">
      <c r="A270" s="8" cm="1">
        <f t="array" aca="1" ref="A270" ca="1">IF(INDIRECT("'Student_Record 1'!A" &amp; ROW())="", "", INDIRECT("'Student_Record 1'!A" &amp; ROW()))</f>
        <v>9</v>
      </c>
      <c r="B270" s="8" cm="1">
        <f t="array" aca="1" ref="B270" ca="1">IF(INDIRECT("'Student_Record 1'!C" &amp; ROW())="", "", INDIRECT("'Student_Record 1'!C" &amp; ROW()))</f>
        <v>896</v>
      </c>
      <c r="C270" s="8" t="str" cm="1">
        <f t="array" aca="1" ref="C270" ca="1">IF(INDIRECT("'Student_Record 1'!E" &amp; ROW())="", "", INDIRECT("'Student_Record 1'!E" &amp; ROW()))</f>
        <v>SALTA BHEEL</v>
      </c>
      <c r="D270" s="8" t="str" cm="1">
        <f t="array" aca="1" ref="D270" ca="1">IF(INDIRECT("'Student_Record 1'!G" &amp; ROW())="", "", INDIRECT("'Student_Record 1'!G" &amp; ROW()))</f>
        <v>PAPPU BHEEL</v>
      </c>
      <c r="E270" s="8" t="str" cm="1">
        <f t="array" aca="1" ref="E270" ca="1">IF(INDIRECT("'Student_Record 1'!I" &amp; ROW())="", "", INDIRECT("'Student_Record 1'!I" &amp; ROW()))</f>
        <v>F</v>
      </c>
      <c r="F270" s="8" t="str" cm="1">
        <f t="array" aca="1" ref="F270" ca="1">IF(INDIRECT("'Student_Record 1'!O" &amp; ROW())="", "", INDIRECT("'Student_Record 1'!O" &amp; ROW()))</f>
        <v>ST</v>
      </c>
      <c r="G270" s="11"/>
      <c r="I270" s="11"/>
      <c r="J270" s="11"/>
      <c r="K270" s="11"/>
      <c r="L270" s="11"/>
      <c r="M270" s="11"/>
      <c r="N270" s="11"/>
      <c r="O270" s="11"/>
      <c r="P270" s="11"/>
      <c r="Q270" s="11"/>
    </row>
    <row r="271" spans="1:17" x14ac:dyDescent="0.25">
      <c r="A271" s="8" cm="1">
        <f t="array" aca="1" ref="A271" ca="1">IF(INDIRECT("'Student_Record 1'!A" &amp; ROW())="", "", INDIRECT("'Student_Record 1'!A" &amp; ROW()))</f>
        <v>9</v>
      </c>
      <c r="B271" s="8" cm="1">
        <f t="array" aca="1" ref="B271" ca="1">IF(INDIRECT("'Student_Record 1'!C" &amp; ROW())="", "", INDIRECT("'Student_Record 1'!C" &amp; ROW()))</f>
        <v>407</v>
      </c>
      <c r="C271" s="8" t="str" cm="1">
        <f t="array" aca="1" ref="C271" ca="1">IF(INDIRECT("'Student_Record 1'!E" &amp; ROW())="", "", INDIRECT("'Student_Record 1'!E" &amp; ROW()))</f>
        <v>SANJU CHOUDHARY</v>
      </c>
      <c r="D271" s="8" t="str" cm="1">
        <f t="array" aca="1" ref="D271" ca="1">IF(INDIRECT("'Student_Record 1'!G" &amp; ROW())="", "", INDIRECT("'Student_Record 1'!G" &amp; ROW()))</f>
        <v>RAYMAL CHOUDHARY</v>
      </c>
      <c r="E271" s="8" t="str" cm="1">
        <f t="array" aca="1" ref="E271" ca="1">IF(INDIRECT("'Student_Record 1'!I" &amp; ROW())="", "", INDIRECT("'Student_Record 1'!I" &amp; ROW()))</f>
        <v>F</v>
      </c>
      <c r="F271" s="8" t="str" cm="1">
        <f t="array" aca="1" ref="F271" ca="1">IF(INDIRECT("'Student_Record 1'!O" &amp; ROW())="", "", INDIRECT("'Student_Record 1'!O" &amp; ROW()))</f>
        <v>OBC</v>
      </c>
      <c r="G271" s="11"/>
      <c r="I271" s="11"/>
      <c r="J271" s="11"/>
      <c r="K271" s="11"/>
      <c r="L271" s="11"/>
      <c r="M271" s="11"/>
      <c r="N271" s="11"/>
      <c r="O271" s="11"/>
      <c r="P271" s="11"/>
      <c r="Q271" s="11"/>
    </row>
    <row r="272" spans="1:17" x14ac:dyDescent="0.25">
      <c r="A272" s="8" cm="1">
        <f t="array" aca="1" ref="A272" ca="1">IF(INDIRECT("'Student_Record 1'!A" &amp; ROW())="", "", INDIRECT("'Student_Record 1'!A" &amp; ROW()))</f>
        <v>9</v>
      </c>
      <c r="B272" s="8" cm="1">
        <f t="array" aca="1" ref="B272" ca="1">IF(INDIRECT("'Student_Record 1'!C" &amp; ROW())="", "", INDIRECT("'Student_Record 1'!C" &amp; ROW()))</f>
        <v>524</v>
      </c>
      <c r="C272" s="8" t="str" cm="1">
        <f t="array" aca="1" ref="C272" ca="1">IF(INDIRECT("'Student_Record 1'!E" &amp; ROW())="", "", INDIRECT("'Student_Record 1'!E" &amp; ROW()))</f>
        <v>SEEMA CHOUDHARY</v>
      </c>
      <c r="D272" s="8" t="str" cm="1">
        <f t="array" aca="1" ref="D272" ca="1">IF(INDIRECT("'Student_Record 1'!G" &amp; ROW())="", "", INDIRECT("'Student_Record 1'!G" &amp; ROW()))</f>
        <v>KAILASH CHOUDHARY</v>
      </c>
      <c r="E272" s="8" t="str" cm="1">
        <f t="array" aca="1" ref="E272" ca="1">IF(INDIRECT("'Student_Record 1'!I" &amp; ROW())="", "", INDIRECT("'Student_Record 1'!I" &amp; ROW()))</f>
        <v>F</v>
      </c>
      <c r="F272" s="8" t="str" cm="1">
        <f t="array" aca="1" ref="F272" ca="1">IF(INDIRECT("'Student_Record 1'!O" &amp; ROW())="", "", INDIRECT("'Student_Record 1'!O" &amp; ROW()))</f>
        <v>OBC</v>
      </c>
      <c r="G272" s="11"/>
      <c r="I272" s="11"/>
      <c r="J272" s="11"/>
      <c r="K272" s="11"/>
      <c r="L272" s="11"/>
      <c r="M272" s="11"/>
      <c r="N272" s="11"/>
      <c r="O272" s="11"/>
      <c r="P272" s="11"/>
      <c r="Q272" s="11"/>
    </row>
    <row r="273" spans="1:17" x14ac:dyDescent="0.25">
      <c r="A273" s="8" cm="1">
        <f t="array" aca="1" ref="A273" ca="1">IF(INDIRECT("'Student_Record 1'!A" &amp; ROW())="", "", INDIRECT("'Student_Record 1'!A" &amp; ROW()))</f>
        <v>9</v>
      </c>
      <c r="B273" s="8" cm="1">
        <f t="array" aca="1" ref="B273" ca="1">IF(INDIRECT("'Student_Record 1'!C" &amp; ROW())="", "", INDIRECT("'Student_Record 1'!C" &amp; ROW()))</f>
        <v>773</v>
      </c>
      <c r="C273" s="8" t="str" cm="1">
        <f t="array" aca="1" ref="C273" ca="1">IF(INDIRECT("'Student_Record 1'!E" &amp; ROW())="", "", INDIRECT("'Student_Record 1'!E" &amp; ROW()))</f>
        <v>SHEELA</v>
      </c>
      <c r="D273" s="8" t="str" cm="1">
        <f t="array" aca="1" ref="D273" ca="1">IF(INDIRECT("'Student_Record 1'!G" &amp; ROW())="", "", INDIRECT("'Student_Record 1'!G" &amp; ROW()))</f>
        <v>HEMRAJ</v>
      </c>
      <c r="E273" s="8" t="str" cm="1">
        <f t="array" aca="1" ref="E273" ca="1">IF(INDIRECT("'Student_Record 1'!I" &amp; ROW())="", "", INDIRECT("'Student_Record 1'!I" &amp; ROW()))</f>
        <v>F</v>
      </c>
      <c r="F273" s="8" t="str" cm="1">
        <f t="array" aca="1" ref="F273" ca="1">IF(INDIRECT("'Student_Record 1'!O" &amp; ROW())="", "", INDIRECT("'Student_Record 1'!O" &amp; ROW()))</f>
        <v>OBC</v>
      </c>
      <c r="G273" s="11"/>
      <c r="I273" s="11"/>
      <c r="J273" s="11"/>
      <c r="K273" s="11"/>
      <c r="L273" s="11"/>
      <c r="M273" s="11"/>
      <c r="N273" s="11"/>
      <c r="O273" s="11"/>
      <c r="P273" s="11"/>
      <c r="Q273" s="11"/>
    </row>
    <row r="274" spans="1:17" x14ac:dyDescent="0.25">
      <c r="A274" s="8" cm="1">
        <f t="array" aca="1" ref="A274" ca="1">IF(INDIRECT("'Student_Record 1'!A" &amp; ROW())="", "", INDIRECT("'Student_Record 1'!A" &amp; ROW()))</f>
        <v>9</v>
      </c>
      <c r="B274" s="8" cm="1">
        <f t="array" aca="1" ref="B274" ca="1">IF(INDIRECT("'Student_Record 1'!C" &amp; ROW())="", "", INDIRECT("'Student_Record 1'!C" &amp; ROW()))</f>
        <v>626</v>
      </c>
      <c r="C274" s="8" t="str" cm="1">
        <f t="array" aca="1" ref="C274" ca="1">IF(INDIRECT("'Student_Record 1'!E" &amp; ROW())="", "", INDIRECT("'Student_Record 1'!E" &amp; ROW()))</f>
        <v>Sintu Jat</v>
      </c>
      <c r="D274" s="8" t="str" cm="1">
        <f t="array" aca="1" ref="D274" ca="1">IF(INDIRECT("'Student_Record 1'!G" &amp; ROW())="", "", INDIRECT("'Student_Record 1'!G" &amp; ROW()))</f>
        <v>RANJEET JAT</v>
      </c>
      <c r="E274" s="8" t="str" cm="1">
        <f t="array" aca="1" ref="E274" ca="1">IF(INDIRECT("'Student_Record 1'!I" &amp; ROW())="", "", INDIRECT("'Student_Record 1'!I" &amp; ROW()))</f>
        <v>F</v>
      </c>
      <c r="F274" s="8" t="str" cm="1">
        <f t="array" aca="1" ref="F274" ca="1">IF(INDIRECT("'Student_Record 1'!O" &amp; ROW())="", "", INDIRECT("'Student_Record 1'!O" &amp; ROW()))</f>
        <v>OBC</v>
      </c>
      <c r="G274" s="11"/>
      <c r="I274" s="11"/>
      <c r="J274" s="11"/>
      <c r="K274" s="11"/>
      <c r="L274" s="11"/>
      <c r="M274" s="11"/>
      <c r="N274" s="11"/>
      <c r="O274" s="11"/>
      <c r="P274" s="11"/>
      <c r="Q274" s="11"/>
    </row>
    <row r="275" spans="1:17" x14ac:dyDescent="0.25">
      <c r="A275" s="8" cm="1">
        <f t="array" aca="1" ref="A275" ca="1">IF(INDIRECT("'Student_Record 1'!A" &amp; ROW())="", "", INDIRECT("'Student_Record 1'!A" &amp; ROW()))</f>
        <v>9</v>
      </c>
      <c r="B275" s="8" cm="1">
        <f t="array" aca="1" ref="B275" ca="1">IF(INDIRECT("'Student_Record 1'!C" &amp; ROW())="", "", INDIRECT("'Student_Record 1'!C" &amp; ROW()))</f>
        <v>357</v>
      </c>
      <c r="C275" s="8" t="str" cm="1">
        <f t="array" aca="1" ref="C275" ca="1">IF(INDIRECT("'Student_Record 1'!E" &amp; ROW())="", "", INDIRECT("'Student_Record 1'!E" &amp; ROW()))</f>
        <v>SUMAN CHOUDHARY</v>
      </c>
      <c r="D275" s="8" t="str" cm="1">
        <f t="array" aca="1" ref="D275" ca="1">IF(INDIRECT("'Student_Record 1'!G" &amp; ROW())="", "", INDIRECT("'Student_Record 1'!G" &amp; ROW()))</f>
        <v>HAGAMA CHOUDHARY</v>
      </c>
      <c r="E275" s="8" t="str" cm="1">
        <f t="array" aca="1" ref="E275" ca="1">IF(INDIRECT("'Student_Record 1'!I" &amp; ROW())="", "", INDIRECT("'Student_Record 1'!I" &amp; ROW()))</f>
        <v>F</v>
      </c>
      <c r="F275" s="8" t="str" cm="1">
        <f t="array" aca="1" ref="F275" ca="1">IF(INDIRECT("'Student_Record 1'!O" &amp; ROW())="", "", INDIRECT("'Student_Record 1'!O" &amp; ROW()))</f>
        <v>OBC</v>
      </c>
      <c r="G275" s="11"/>
      <c r="I275" s="11"/>
      <c r="J275" s="11"/>
      <c r="K275" s="11"/>
      <c r="L275" s="11"/>
      <c r="M275" s="11"/>
      <c r="N275" s="11"/>
      <c r="O275" s="11"/>
      <c r="P275" s="11"/>
      <c r="Q275" s="11"/>
    </row>
    <row r="276" spans="1:17" x14ac:dyDescent="0.25">
      <c r="A276" s="8" cm="1">
        <f t="array" aca="1" ref="A276" ca="1">IF(INDIRECT("'Student_Record 1'!A" &amp; ROW())="", "", INDIRECT("'Student_Record 1'!A" &amp; ROW()))</f>
        <v>9</v>
      </c>
      <c r="B276" s="8" cm="1">
        <f t="array" aca="1" ref="B276" ca="1">IF(INDIRECT("'Student_Record 1'!C" &amp; ROW())="", "", INDIRECT("'Student_Record 1'!C" &amp; ROW()))</f>
        <v>406</v>
      </c>
      <c r="C276" s="8" t="str" cm="1">
        <f t="array" aca="1" ref="C276" ca="1">IF(INDIRECT("'Student_Record 1'!E" &amp; ROW())="", "", INDIRECT("'Student_Record 1'!E" &amp; ROW()))</f>
        <v>SUMAN CHOUDHARY</v>
      </c>
      <c r="D276" s="8" t="str" cm="1">
        <f t="array" aca="1" ref="D276" ca="1">IF(INDIRECT("'Student_Record 1'!G" &amp; ROW())="", "", INDIRECT("'Student_Record 1'!G" &amp; ROW()))</f>
        <v>JAY SINGH CHOUDHARY</v>
      </c>
      <c r="E276" s="8" t="str" cm="1">
        <f t="array" aca="1" ref="E276" ca="1">IF(INDIRECT("'Student_Record 1'!I" &amp; ROW())="", "", INDIRECT("'Student_Record 1'!I" &amp; ROW()))</f>
        <v>F</v>
      </c>
      <c r="F276" s="8" t="str" cm="1">
        <f t="array" aca="1" ref="F276" ca="1">IF(INDIRECT("'Student_Record 1'!O" &amp; ROW())="", "", INDIRECT("'Student_Record 1'!O" &amp; ROW()))</f>
        <v>OBC</v>
      </c>
      <c r="G276" s="11"/>
      <c r="I276" s="11"/>
      <c r="J276" s="11"/>
      <c r="K276" s="11"/>
      <c r="L276" s="11"/>
      <c r="M276" s="11"/>
      <c r="N276" s="11"/>
      <c r="O276" s="11"/>
      <c r="P276" s="11"/>
      <c r="Q276" s="11"/>
    </row>
    <row r="277" spans="1:17" x14ac:dyDescent="0.25">
      <c r="A277" s="8" cm="1">
        <f t="array" aca="1" ref="A277" ca="1">IF(INDIRECT("'Student_Record 1'!A" &amp; ROW())="", "", INDIRECT("'Student_Record 1'!A" &amp; ROW()))</f>
        <v>9</v>
      </c>
      <c r="B277" s="8" cm="1">
        <f t="array" aca="1" ref="B277" ca="1">IF(INDIRECT("'Student_Record 1'!C" &amp; ROW())="", "", INDIRECT("'Student_Record 1'!C" &amp; ROW()))</f>
        <v>555</v>
      </c>
      <c r="C277" s="8" t="str" cm="1">
        <f t="array" aca="1" ref="C277" ca="1">IF(INDIRECT("'Student_Record 1'!E" &amp; ROW())="", "", INDIRECT("'Student_Record 1'!E" &amp; ROW()))</f>
        <v>SUMAN JAT</v>
      </c>
      <c r="D277" s="8" t="str" cm="1">
        <f t="array" aca="1" ref="D277" ca="1">IF(INDIRECT("'Student_Record 1'!G" &amp; ROW())="", "", INDIRECT("'Student_Record 1'!G" &amp; ROW()))</f>
        <v>SHAUNKIN JAT</v>
      </c>
      <c r="E277" s="8" t="str" cm="1">
        <f t="array" aca="1" ref="E277" ca="1">IF(INDIRECT("'Student_Record 1'!I" &amp; ROW())="", "", INDIRECT("'Student_Record 1'!I" &amp; ROW()))</f>
        <v>F</v>
      </c>
      <c r="F277" s="8" t="str" cm="1">
        <f t="array" aca="1" ref="F277" ca="1">IF(INDIRECT("'Student_Record 1'!O" &amp; ROW())="", "", INDIRECT("'Student_Record 1'!O" &amp; ROW()))</f>
        <v>OBC</v>
      </c>
      <c r="G277" s="11"/>
      <c r="I277" s="11"/>
      <c r="J277" s="11"/>
      <c r="K277" s="11"/>
      <c r="L277" s="11"/>
      <c r="M277" s="11"/>
      <c r="N277" s="11"/>
      <c r="O277" s="11"/>
      <c r="P277" s="11"/>
      <c r="Q277" s="11"/>
    </row>
    <row r="278" spans="1:17" x14ac:dyDescent="0.25">
      <c r="A278" s="8" cm="1">
        <f t="array" aca="1" ref="A278" ca="1">IF(INDIRECT("'Student_Record 1'!A" &amp; ROW())="", "", INDIRECT("'Student_Record 1'!A" &amp; ROW()))</f>
        <v>9</v>
      </c>
      <c r="B278" s="8" cm="1">
        <f t="array" aca="1" ref="B278" ca="1">IF(INDIRECT("'Student_Record 1'!C" &amp; ROW())="", "", INDIRECT("'Student_Record 1'!C" &amp; ROW()))</f>
        <v>324</v>
      </c>
      <c r="C278" s="8" t="str" cm="1">
        <f t="array" aca="1" ref="C278" ca="1">IF(INDIRECT("'Student_Record 1'!E" &amp; ROW())="", "", INDIRECT("'Student_Record 1'!E" &amp; ROW()))</f>
        <v>SUMAN JAT</v>
      </c>
      <c r="D278" s="8" t="str" cm="1">
        <f t="array" aca="1" ref="D278" ca="1">IF(INDIRECT("'Student_Record 1'!G" &amp; ROW())="", "", INDIRECT("'Student_Record 1'!G" &amp; ROW()))</f>
        <v>LALA RAM JAT</v>
      </c>
      <c r="E278" s="8" t="str" cm="1">
        <f t="array" aca="1" ref="E278" ca="1">IF(INDIRECT("'Student_Record 1'!I" &amp; ROW())="", "", INDIRECT("'Student_Record 1'!I" &amp; ROW()))</f>
        <v>F</v>
      </c>
      <c r="F278" s="8" t="str" cm="1">
        <f t="array" aca="1" ref="F278" ca="1">IF(INDIRECT("'Student_Record 1'!O" &amp; ROW())="", "", INDIRECT("'Student_Record 1'!O" &amp; ROW()))</f>
        <v>OBC</v>
      </c>
      <c r="G278" s="11"/>
      <c r="I278" s="11"/>
      <c r="J278" s="11"/>
      <c r="K278" s="11"/>
      <c r="L278" s="11"/>
      <c r="M278" s="11"/>
      <c r="N278" s="11"/>
      <c r="O278" s="11"/>
      <c r="P278" s="11"/>
      <c r="Q278" s="11"/>
    </row>
    <row r="279" spans="1:17" x14ac:dyDescent="0.25">
      <c r="A279" s="8" cm="1">
        <f t="array" aca="1" ref="A279" ca="1">IF(INDIRECT("'Student_Record 1'!A" &amp; ROW())="", "", INDIRECT("'Student_Record 1'!A" &amp; ROW()))</f>
        <v>9</v>
      </c>
      <c r="B279" s="8" cm="1">
        <f t="array" aca="1" ref="B279" ca="1">IF(INDIRECT("'Student_Record 1'!C" &amp; ROW())="", "", INDIRECT("'Student_Record 1'!C" &amp; ROW()))</f>
        <v>681</v>
      </c>
      <c r="C279" s="8" t="str" cm="1">
        <f t="array" aca="1" ref="C279" ca="1">IF(INDIRECT("'Student_Record 1'!E" &amp; ROW())="", "", INDIRECT("'Student_Record 1'!E" &amp; ROW()))</f>
        <v>SUNIL KUMAR BHEEL</v>
      </c>
      <c r="D279" s="8" t="str" cm="1">
        <f t="array" aca="1" ref="D279" ca="1">IF(INDIRECT("'Student_Record 1'!G" &amp; ROW())="", "", INDIRECT("'Student_Record 1'!G" &amp; ROW()))</f>
        <v>DHARMRAJ BHEEL</v>
      </c>
      <c r="E279" s="8" t="str" cm="1">
        <f t="array" aca="1" ref="E279" ca="1">IF(INDIRECT("'Student_Record 1'!I" &amp; ROW())="", "", INDIRECT("'Student_Record 1'!I" &amp; ROW()))</f>
        <v>M</v>
      </c>
      <c r="F279" s="8" t="str" cm="1">
        <f t="array" aca="1" ref="F279" ca="1">IF(INDIRECT("'Student_Record 1'!O" &amp; ROW())="", "", INDIRECT("'Student_Record 1'!O" &amp; ROW()))</f>
        <v>ST</v>
      </c>
      <c r="G279" s="11"/>
      <c r="I279" s="11"/>
      <c r="J279" s="11"/>
      <c r="K279" s="11"/>
      <c r="L279" s="11"/>
      <c r="M279" s="11"/>
      <c r="N279" s="11"/>
      <c r="O279" s="11"/>
      <c r="P279" s="11"/>
      <c r="Q279" s="11"/>
    </row>
    <row r="280" spans="1:17" x14ac:dyDescent="0.25">
      <c r="A280" s="8" cm="1">
        <f t="array" aca="1" ref="A280" ca="1">IF(INDIRECT("'Student_Record 1'!A" &amp; ROW())="", "", INDIRECT("'Student_Record 1'!A" &amp; ROW()))</f>
        <v>9</v>
      </c>
      <c r="B280" s="8" cm="1">
        <f t="array" aca="1" ref="B280" ca="1">IF(INDIRECT("'Student_Record 1'!C" &amp; ROW())="", "", INDIRECT("'Student_Record 1'!C" &amp; ROW()))</f>
        <v>695</v>
      </c>
      <c r="C280" s="8" t="str" cm="1">
        <f t="array" aca="1" ref="C280" ca="1">IF(INDIRECT("'Student_Record 1'!E" &amp; ROW())="", "", INDIRECT("'Student_Record 1'!E" &amp; ROW()))</f>
        <v>Suraj Prajapat</v>
      </c>
      <c r="D280" s="8" t="str" cm="1">
        <f t="array" aca="1" ref="D280" ca="1">IF(INDIRECT("'Student_Record 1'!G" &amp; ROW())="", "", INDIRECT("'Student_Record 1'!G" &amp; ROW()))</f>
        <v>Bhagchand Kumhar</v>
      </c>
      <c r="E280" s="8" t="str" cm="1">
        <f t="array" aca="1" ref="E280" ca="1">IF(INDIRECT("'Student_Record 1'!I" &amp; ROW())="", "", INDIRECT("'Student_Record 1'!I" &amp; ROW()))</f>
        <v>M</v>
      </c>
      <c r="F280" s="8" t="str" cm="1">
        <f t="array" aca="1" ref="F280" ca="1">IF(INDIRECT("'Student_Record 1'!O" &amp; ROW())="", "", INDIRECT("'Student_Record 1'!O" &amp; ROW()))</f>
        <v>OBC</v>
      </c>
      <c r="G280" s="11"/>
      <c r="I280" s="11"/>
      <c r="J280" s="11"/>
      <c r="K280" s="11"/>
      <c r="L280" s="11"/>
      <c r="M280" s="11"/>
      <c r="N280" s="11"/>
      <c r="O280" s="11"/>
      <c r="P280" s="11"/>
      <c r="Q280" s="11"/>
    </row>
    <row r="281" spans="1:17" x14ac:dyDescent="0.25">
      <c r="A281" s="8" cm="1">
        <f t="array" aca="1" ref="A281" ca="1">IF(INDIRECT("'Student_Record 1'!A" &amp; ROW())="", "", INDIRECT("'Student_Record 1'!A" &amp; ROW()))</f>
        <v>9</v>
      </c>
      <c r="B281" s="8" cm="1">
        <f t="array" aca="1" ref="B281" ca="1">IF(INDIRECT("'Student_Record 1'!C" &amp; ROW())="", "", INDIRECT("'Student_Record 1'!C" &amp; ROW()))</f>
        <v>351</v>
      </c>
      <c r="C281" s="8" t="str" cm="1">
        <f t="array" aca="1" ref="C281" ca="1">IF(INDIRECT("'Student_Record 1'!E" &amp; ROW())="", "", INDIRECT("'Student_Record 1'!E" &amp; ROW()))</f>
        <v>SURENDRA CHOUDHARY</v>
      </c>
      <c r="D281" s="8" t="str" cm="1">
        <f t="array" aca="1" ref="D281" ca="1">IF(INDIRECT("'Student_Record 1'!G" &amp; ROW())="", "", INDIRECT("'Student_Record 1'!G" &amp; ROW()))</f>
        <v>HARI RAM CHOUDHARY</v>
      </c>
      <c r="E281" s="8" t="str" cm="1">
        <f t="array" aca="1" ref="E281" ca="1">IF(INDIRECT("'Student_Record 1'!I" &amp; ROW())="", "", INDIRECT("'Student_Record 1'!I" &amp; ROW()))</f>
        <v>M</v>
      </c>
      <c r="F281" s="8" t="str" cm="1">
        <f t="array" aca="1" ref="F281" ca="1">IF(INDIRECT("'Student_Record 1'!O" &amp; ROW())="", "", INDIRECT("'Student_Record 1'!O" &amp; ROW()))</f>
        <v>OBC</v>
      </c>
      <c r="G281" s="11"/>
      <c r="I281" s="11"/>
      <c r="J281" s="11"/>
      <c r="K281" s="11"/>
      <c r="L281" s="11"/>
      <c r="M281" s="11"/>
      <c r="N281" s="11"/>
      <c r="O281" s="11"/>
      <c r="P281" s="11"/>
      <c r="Q281" s="11"/>
    </row>
    <row r="282" spans="1:17" x14ac:dyDescent="0.25">
      <c r="A282" s="8" cm="1">
        <f t="array" aca="1" ref="A282" ca="1">IF(INDIRECT("'Student_Record 1'!A" &amp; ROW())="", "", INDIRECT("'Student_Record 1'!A" &amp; ROW()))</f>
        <v>9</v>
      </c>
      <c r="B282" s="8" cm="1">
        <f t="array" aca="1" ref="B282" ca="1">IF(INDIRECT("'Student_Record 1'!C" &amp; ROW())="", "", INDIRECT("'Student_Record 1'!C" &amp; ROW()))</f>
        <v>356</v>
      </c>
      <c r="C282" s="8" t="str" cm="1">
        <f t="array" aca="1" ref="C282" ca="1">IF(INDIRECT("'Student_Record 1'!E" &amp; ROW())="", "", INDIRECT("'Student_Record 1'!E" &amp; ROW()))</f>
        <v>TANVI JANGID</v>
      </c>
      <c r="D282" s="8" t="str" cm="1">
        <f t="array" aca="1" ref="D282" ca="1">IF(INDIRECT("'Student_Record 1'!G" &amp; ROW())="", "", INDIRECT("'Student_Record 1'!G" &amp; ROW()))</f>
        <v>NANDKISHOR JANGID</v>
      </c>
      <c r="E282" s="8" t="str" cm="1">
        <f t="array" aca="1" ref="E282" ca="1">IF(INDIRECT("'Student_Record 1'!I" &amp; ROW())="", "", INDIRECT("'Student_Record 1'!I" &amp; ROW()))</f>
        <v>F</v>
      </c>
      <c r="F282" s="8" t="str" cm="1">
        <f t="array" aca="1" ref="F282" ca="1">IF(INDIRECT("'Student_Record 1'!O" &amp; ROW())="", "", INDIRECT("'Student_Record 1'!O" &amp; ROW()))</f>
        <v>OBC</v>
      </c>
      <c r="G282" s="11"/>
      <c r="I282" s="11"/>
      <c r="J282" s="11"/>
      <c r="K282" s="11"/>
      <c r="L282" s="11"/>
      <c r="M282" s="11"/>
      <c r="N282" s="11"/>
      <c r="O282" s="11"/>
      <c r="P282" s="11"/>
      <c r="Q282" s="11"/>
    </row>
    <row r="283" spans="1:17" x14ac:dyDescent="0.25">
      <c r="A283" s="8" cm="1">
        <f t="array" aca="1" ref="A283" ca="1">IF(INDIRECT("'Student_Record 1'!A" &amp; ROW())="", "", INDIRECT("'Student_Record 1'!A" &amp; ROW()))</f>
        <v>9</v>
      </c>
      <c r="B283" s="8" cm="1">
        <f t="array" aca="1" ref="B283" ca="1">IF(INDIRECT("'Student_Record 1'!C" &amp; ROW())="", "", INDIRECT("'Student_Record 1'!C" &amp; ROW()))</f>
        <v>438</v>
      </c>
      <c r="C283" s="8" t="str" cm="1">
        <f t="array" aca="1" ref="C283" ca="1">IF(INDIRECT("'Student_Record 1'!E" &amp; ROW())="", "", INDIRECT("'Student_Record 1'!E" &amp; ROW()))</f>
        <v>TEJPAL CHOUDHARY</v>
      </c>
      <c r="D283" s="8" t="str" cm="1">
        <f t="array" aca="1" ref="D283" ca="1">IF(INDIRECT("'Student_Record 1'!G" &amp; ROW())="", "", INDIRECT("'Student_Record 1'!G" &amp; ROW()))</f>
        <v>HANSRAJ CHOUDHARY</v>
      </c>
      <c r="E283" s="8" t="str" cm="1">
        <f t="array" aca="1" ref="E283" ca="1">IF(INDIRECT("'Student_Record 1'!I" &amp; ROW())="", "", INDIRECT("'Student_Record 1'!I" &amp; ROW()))</f>
        <v>M</v>
      </c>
      <c r="F283" s="8" t="str" cm="1">
        <f t="array" aca="1" ref="F283" ca="1">IF(INDIRECT("'Student_Record 1'!O" &amp; ROW())="", "", INDIRECT("'Student_Record 1'!O" &amp; ROW()))</f>
        <v>OBC</v>
      </c>
      <c r="G283" s="11"/>
      <c r="I283" s="11"/>
      <c r="J283" s="11"/>
      <c r="K283" s="11"/>
      <c r="L283" s="11"/>
      <c r="M283" s="11"/>
      <c r="N283" s="11"/>
      <c r="O283" s="11"/>
      <c r="P283" s="11"/>
      <c r="Q283" s="11"/>
    </row>
    <row r="284" spans="1:17" x14ac:dyDescent="0.25">
      <c r="A284" s="8" cm="1">
        <f t="array" aca="1" ref="A284" ca="1">IF(INDIRECT("'Student_Record 1'!A" &amp; ROW())="", "", INDIRECT("'Student_Record 1'!A" &amp; ROW()))</f>
        <v>9</v>
      </c>
      <c r="B284" s="8" cm="1">
        <f t="array" aca="1" ref="B284" ca="1">IF(INDIRECT("'Student_Record 1'!C" &amp; ROW())="", "", INDIRECT("'Student_Record 1'!C" &amp; ROW()))</f>
        <v>327</v>
      </c>
      <c r="C284" s="8" t="str" cm="1">
        <f t="array" aca="1" ref="C284" ca="1">IF(INDIRECT("'Student_Record 1'!E" &amp; ROW())="", "", INDIRECT("'Student_Record 1'!E" &amp; ROW()))</f>
        <v>VINOD PRAJAPAT</v>
      </c>
      <c r="D284" s="8" t="str" cm="1">
        <f t="array" aca="1" ref="D284" ca="1">IF(INDIRECT("'Student_Record 1'!G" &amp; ROW())="", "", INDIRECT("'Student_Record 1'!G" &amp; ROW()))</f>
        <v>MAHAVEER PRAJAPAT</v>
      </c>
      <c r="E284" s="8" t="str" cm="1">
        <f t="array" aca="1" ref="E284" ca="1">IF(INDIRECT("'Student_Record 1'!I" &amp; ROW())="", "", INDIRECT("'Student_Record 1'!I" &amp; ROW()))</f>
        <v>M</v>
      </c>
      <c r="F284" s="8" t="str" cm="1">
        <f t="array" aca="1" ref="F284" ca="1">IF(INDIRECT("'Student_Record 1'!O" &amp; ROW())="", "", INDIRECT("'Student_Record 1'!O" &amp; ROW()))</f>
        <v>OBC</v>
      </c>
      <c r="G284" s="11"/>
      <c r="I284" s="11"/>
      <c r="J284" s="11"/>
      <c r="K284" s="11"/>
      <c r="L284" s="11"/>
      <c r="M284" s="11"/>
      <c r="N284" s="11"/>
      <c r="O284" s="11"/>
      <c r="P284" s="11"/>
      <c r="Q284" s="11"/>
    </row>
    <row r="285" spans="1:17" x14ac:dyDescent="0.25">
      <c r="A285" s="74" cm="1">
        <f t="array" aca="1" ref="A285" ca="1">IF(INDIRECT("'Student_Record 1'!A" &amp; ROW())="", "", INDIRECT("'Student_Record 1'!A" &amp; ROW()))</f>
        <v>10</v>
      </c>
      <c r="B285" s="74" cm="1">
        <f t="array" aca="1" ref="B285" ca="1">IF(INDIRECT("'Student_Record 1'!C" &amp; ROW())="", "", INDIRECT("'Student_Record 1'!C" &amp; ROW()))</f>
        <v>912</v>
      </c>
      <c r="C285" s="74" t="str" cm="1">
        <f t="array" aca="1" ref="C285" ca="1">IF(INDIRECT("'Student_Record 1'!E" &amp; ROW())="", "", INDIRECT("'Student_Record 1'!E" &amp; ROW()))</f>
        <v>Akshay Dadhich</v>
      </c>
      <c r="D285" s="74" t="str" cm="1">
        <f t="array" aca="1" ref="D285" ca="1">IF(INDIRECT("'Student_Record 1'!G" &amp; ROW())="", "", INDIRECT("'Student_Record 1'!G" &amp; ROW()))</f>
        <v>Mahesh Chand Sharma</v>
      </c>
      <c r="E285" s="74" t="str" cm="1">
        <f t="array" aca="1" ref="E285" ca="1">IF(INDIRECT("'Student_Record 1'!I" &amp; ROW())="", "", INDIRECT("'Student_Record 1'!I" &amp; ROW()))</f>
        <v>M</v>
      </c>
      <c r="F285" s="74" t="str" cm="1">
        <f t="array" aca="1" ref="F285" ca="1">IF(INDIRECT("'Student_Record 1'!O" &amp; ROW())="", "", INDIRECT("'Student_Record 1'!O" &amp; ROW()))</f>
        <v>GEN</v>
      </c>
      <c r="G285" s="75"/>
      <c r="I285" s="75"/>
      <c r="J285" s="75"/>
      <c r="K285" s="75"/>
      <c r="L285" s="75"/>
      <c r="M285" s="75"/>
      <c r="N285" s="75"/>
      <c r="O285" s="75"/>
      <c r="P285" s="75"/>
      <c r="Q285" s="75"/>
    </row>
    <row r="286" spans="1:17" x14ac:dyDescent="0.25">
      <c r="A286" s="74" cm="1">
        <f t="array" aca="1" ref="A286" ca="1">IF(INDIRECT("'Student_Record 1'!A" &amp; ROW())="", "", INDIRECT("'Student_Record 1'!A" &amp; ROW()))</f>
        <v>10</v>
      </c>
      <c r="B286" s="74" cm="1">
        <f t="array" aca="1" ref="B286" ca="1">IF(INDIRECT("'Student_Record 1'!C" &amp; ROW())="", "", INDIRECT("'Student_Record 1'!C" &amp; ROW()))</f>
        <v>591</v>
      </c>
      <c r="C286" s="74" t="str" cm="1">
        <f t="array" aca="1" ref="C286" ca="1">IF(INDIRECT("'Student_Record 1'!E" &amp; ROW())="", "", INDIRECT("'Student_Record 1'!E" &amp; ROW()))</f>
        <v>CHANNU BHEEL</v>
      </c>
      <c r="D286" s="74" t="str" cm="1">
        <f t="array" aca="1" ref="D286" ca="1">IF(INDIRECT("'Student_Record 1'!G" &amp; ROW())="", "", INDIRECT("'Student_Record 1'!G" &amp; ROW()))</f>
        <v>MAHAVEER BHEEL</v>
      </c>
      <c r="E286" s="74" t="str" cm="1">
        <f t="array" aca="1" ref="E286" ca="1">IF(INDIRECT("'Student_Record 1'!I" &amp; ROW())="", "", INDIRECT("'Student_Record 1'!I" &amp; ROW()))</f>
        <v>F</v>
      </c>
      <c r="F286" s="74" t="str" cm="1">
        <f t="array" aca="1" ref="F286" ca="1">IF(INDIRECT("'Student_Record 1'!O" &amp; ROW())="", "", INDIRECT("'Student_Record 1'!O" &amp; ROW()))</f>
        <v>ST</v>
      </c>
      <c r="G286" s="75"/>
      <c r="I286" s="75"/>
      <c r="J286" s="75"/>
      <c r="K286" s="75"/>
      <c r="L286" s="75"/>
      <c r="M286" s="75"/>
      <c r="N286" s="75"/>
      <c r="O286" s="75"/>
      <c r="P286" s="75"/>
      <c r="Q286" s="75"/>
    </row>
    <row r="287" spans="1:17" x14ac:dyDescent="0.25">
      <c r="A287" s="74" cm="1">
        <f t="array" aca="1" ref="A287" ca="1">IF(INDIRECT("'Student_Record 1'!A" &amp; ROW())="", "", INDIRECT("'Student_Record 1'!A" &amp; ROW()))</f>
        <v>10</v>
      </c>
      <c r="B287" s="74" cm="1">
        <f t="array" aca="1" ref="B287" ca="1">IF(INDIRECT("'Student_Record 1'!C" &amp; ROW())="", "", INDIRECT("'Student_Record 1'!C" &amp; ROW()))</f>
        <v>227</v>
      </c>
      <c r="C287" s="74" t="str" cm="1">
        <f t="array" aca="1" ref="C287" ca="1">IF(INDIRECT("'Student_Record 1'!E" &amp; ROW())="", "", INDIRECT("'Student_Record 1'!E" &amp; ROW()))</f>
        <v>DEEPAK PRAJAPAT</v>
      </c>
      <c r="D287" s="74" t="str" cm="1">
        <f t="array" aca="1" ref="D287" ca="1">IF(INDIRECT("'Student_Record 1'!G" &amp; ROW())="", "", INDIRECT("'Student_Record 1'!G" &amp; ROW()))</f>
        <v>SHRAWAN PRAJAPAT</v>
      </c>
      <c r="E287" s="74" t="str" cm="1">
        <f t="array" aca="1" ref="E287" ca="1">IF(INDIRECT("'Student_Record 1'!I" &amp; ROW())="", "", INDIRECT("'Student_Record 1'!I" &amp; ROW()))</f>
        <v>M</v>
      </c>
      <c r="F287" s="74" t="str" cm="1">
        <f t="array" aca="1" ref="F287" ca="1">IF(INDIRECT("'Student_Record 1'!O" &amp; ROW())="", "", INDIRECT("'Student_Record 1'!O" &amp; ROW()))</f>
        <v>OBC</v>
      </c>
      <c r="G287" s="75"/>
      <c r="I287" s="75"/>
      <c r="J287" s="75"/>
      <c r="K287" s="75"/>
      <c r="L287" s="75"/>
      <c r="M287" s="75"/>
      <c r="N287" s="75"/>
      <c r="O287" s="75"/>
      <c r="P287" s="75"/>
      <c r="Q287" s="75"/>
    </row>
    <row r="288" spans="1:17" x14ac:dyDescent="0.25">
      <c r="A288" s="74" cm="1">
        <f t="array" aca="1" ref="A288" ca="1">IF(INDIRECT("'Student_Record 1'!A" &amp; ROW())="", "", INDIRECT("'Student_Record 1'!A" &amp; ROW()))</f>
        <v>10</v>
      </c>
      <c r="B288" s="74" cm="1">
        <f t="array" aca="1" ref="B288" ca="1">IF(INDIRECT("'Student_Record 1'!C" &amp; ROW())="", "", INDIRECT("'Student_Record 1'!C" &amp; ROW()))</f>
        <v>637</v>
      </c>
      <c r="C288" s="74" t="str" cm="1">
        <f t="array" aca="1" ref="C288" ca="1">IF(INDIRECT("'Student_Record 1'!E" &amp; ROW())="", "", INDIRECT("'Student_Record 1'!E" &amp; ROW()))</f>
        <v>DEEPU</v>
      </c>
      <c r="D288" s="74" t="str" cm="1">
        <f t="array" aca="1" ref="D288" ca="1">IF(INDIRECT("'Student_Record 1'!G" &amp; ROW())="", "", INDIRECT("'Student_Record 1'!G" &amp; ROW()))</f>
        <v>RAMESH</v>
      </c>
      <c r="E288" s="74" t="str" cm="1">
        <f t="array" aca="1" ref="E288" ca="1">IF(INDIRECT("'Student_Record 1'!I" &amp; ROW())="", "", INDIRECT("'Student_Record 1'!I" &amp; ROW()))</f>
        <v>M</v>
      </c>
      <c r="F288" s="74" t="str" cm="1">
        <f t="array" aca="1" ref="F288" ca="1">IF(INDIRECT("'Student_Record 1'!O" &amp; ROW())="", "", INDIRECT("'Student_Record 1'!O" &amp; ROW()))</f>
        <v>OBC</v>
      </c>
      <c r="G288" s="75"/>
      <c r="I288" s="75"/>
      <c r="J288" s="75"/>
      <c r="K288" s="75"/>
      <c r="L288" s="75"/>
      <c r="M288" s="75"/>
      <c r="N288" s="75"/>
      <c r="O288" s="75"/>
      <c r="P288" s="75"/>
      <c r="Q288" s="75"/>
    </row>
    <row r="289" spans="1:17" x14ac:dyDescent="0.25">
      <c r="A289" s="74" cm="1">
        <f t="array" aca="1" ref="A289" ca="1">IF(INDIRECT("'Student_Record 1'!A" &amp; ROW())="", "", INDIRECT("'Student_Record 1'!A" &amp; ROW()))</f>
        <v>10</v>
      </c>
      <c r="B289" s="74" cm="1">
        <f t="array" aca="1" ref="B289" ca="1">IF(INDIRECT("'Student_Record 1'!C" &amp; ROW())="", "", INDIRECT("'Student_Record 1'!C" &amp; ROW()))</f>
        <v>374</v>
      </c>
      <c r="C289" s="74" t="str" cm="1">
        <f t="array" aca="1" ref="C289" ca="1">IF(INDIRECT("'Student_Record 1'!E" &amp; ROW())="", "", INDIRECT("'Student_Record 1'!E" &amp; ROW()))</f>
        <v>DINESH JAT</v>
      </c>
      <c r="D289" s="74" t="str" cm="1">
        <f t="array" aca="1" ref="D289" ca="1">IF(INDIRECT("'Student_Record 1'!G" &amp; ROW())="", "", INDIRECT("'Student_Record 1'!G" &amp; ROW()))</f>
        <v>JORU JAT</v>
      </c>
      <c r="E289" s="74" t="str" cm="1">
        <f t="array" aca="1" ref="E289" ca="1">IF(INDIRECT("'Student_Record 1'!I" &amp; ROW())="", "", INDIRECT("'Student_Record 1'!I" &amp; ROW()))</f>
        <v>M</v>
      </c>
      <c r="F289" s="74" t="str" cm="1">
        <f t="array" aca="1" ref="F289" ca="1">IF(INDIRECT("'Student_Record 1'!O" &amp; ROW())="", "", INDIRECT("'Student_Record 1'!O" &amp; ROW()))</f>
        <v>OBC</v>
      </c>
      <c r="G289" s="75"/>
      <c r="I289" s="75"/>
      <c r="J289" s="75"/>
      <c r="K289" s="75"/>
      <c r="L289" s="75"/>
      <c r="M289" s="75"/>
      <c r="N289" s="75"/>
      <c r="O289" s="75"/>
      <c r="P289" s="75"/>
      <c r="Q289" s="75"/>
    </row>
    <row r="290" spans="1:17" x14ac:dyDescent="0.25">
      <c r="A290" s="74" cm="1">
        <f t="array" aca="1" ref="A290" ca="1">IF(INDIRECT("'Student_Record 1'!A" &amp; ROW())="", "", INDIRECT("'Student_Record 1'!A" &amp; ROW()))</f>
        <v>10</v>
      </c>
      <c r="B290" s="74" cm="1">
        <f t="array" aca="1" ref="B290" ca="1">IF(INDIRECT("'Student_Record 1'!C" &amp; ROW())="", "", INDIRECT("'Student_Record 1'!C" &amp; ROW()))</f>
        <v>619</v>
      </c>
      <c r="C290" s="74" t="str" cm="1">
        <f t="array" aca="1" ref="C290" ca="1">IF(INDIRECT("'Student_Record 1'!E" &amp; ROW())="", "", INDIRECT("'Student_Record 1'!E" &amp; ROW()))</f>
        <v>GORA</v>
      </c>
      <c r="D290" s="74" t="str" cm="1">
        <f t="array" aca="1" ref="D290" ca="1">IF(INDIRECT("'Student_Record 1'!G" &amp; ROW())="", "", INDIRECT("'Student_Record 1'!G" &amp; ROW()))</f>
        <v>BHAGCHAND</v>
      </c>
      <c r="E290" s="74" t="str" cm="1">
        <f t="array" aca="1" ref="E290" ca="1">IF(INDIRECT("'Student_Record 1'!I" &amp; ROW())="", "", INDIRECT("'Student_Record 1'!I" &amp; ROW()))</f>
        <v>F</v>
      </c>
      <c r="F290" s="74" t="str" cm="1">
        <f t="array" aca="1" ref="F290" ca="1">IF(INDIRECT("'Student_Record 1'!O" &amp; ROW())="", "", INDIRECT("'Student_Record 1'!O" &amp; ROW()))</f>
        <v>SBC</v>
      </c>
      <c r="G290" s="75"/>
      <c r="I290" s="75"/>
      <c r="J290" s="75"/>
      <c r="K290" s="75"/>
      <c r="L290" s="75"/>
      <c r="M290" s="75"/>
      <c r="N290" s="75"/>
      <c r="O290" s="75"/>
      <c r="P290" s="75"/>
      <c r="Q290" s="75"/>
    </row>
    <row r="291" spans="1:17" x14ac:dyDescent="0.25">
      <c r="A291" s="74" cm="1">
        <f t="array" aca="1" ref="A291" ca="1">IF(INDIRECT("'Student_Record 1'!A" &amp; ROW())="", "", INDIRECT("'Student_Record 1'!A" &amp; ROW()))</f>
        <v>10</v>
      </c>
      <c r="B291" s="74" cm="1">
        <f t="array" aca="1" ref="B291" ca="1">IF(INDIRECT("'Student_Record 1'!C" &amp; ROW())="", "", INDIRECT("'Student_Record 1'!C" &amp; ROW()))</f>
        <v>256</v>
      </c>
      <c r="C291" s="74" t="str" cm="1">
        <f t="array" aca="1" ref="C291" ca="1">IF(INDIRECT("'Student_Record 1'!E" &amp; ROW())="", "", INDIRECT("'Student_Record 1'!E" &amp; ROW()))</f>
        <v>GORA JAT</v>
      </c>
      <c r="D291" s="74" t="str" cm="1">
        <f t="array" aca="1" ref="D291" ca="1">IF(INDIRECT("'Student_Record 1'!G" &amp; ROW())="", "", INDIRECT("'Student_Record 1'!G" &amp; ROW()))</f>
        <v>RAYMAL JAT</v>
      </c>
      <c r="E291" s="74" t="str" cm="1">
        <f t="array" aca="1" ref="E291" ca="1">IF(INDIRECT("'Student_Record 1'!I" &amp; ROW())="", "", INDIRECT("'Student_Record 1'!I" &amp; ROW()))</f>
        <v>F</v>
      </c>
      <c r="F291" s="74" t="str" cm="1">
        <f t="array" aca="1" ref="F291" ca="1">IF(INDIRECT("'Student_Record 1'!O" &amp; ROW())="", "", INDIRECT("'Student_Record 1'!O" &amp; ROW()))</f>
        <v>OBC</v>
      </c>
      <c r="G291" s="75"/>
      <c r="I291" s="75"/>
      <c r="J291" s="75"/>
      <c r="K291" s="75"/>
      <c r="L291" s="75"/>
      <c r="M291" s="75"/>
      <c r="N291" s="75"/>
      <c r="O291" s="75"/>
      <c r="P291" s="75"/>
      <c r="Q291" s="75"/>
    </row>
    <row r="292" spans="1:17" x14ac:dyDescent="0.25">
      <c r="A292" s="74" cm="1">
        <f t="array" aca="1" ref="A292" ca="1">IF(INDIRECT("'Student_Record 1'!A" &amp; ROW())="", "", INDIRECT("'Student_Record 1'!A" &amp; ROW()))</f>
        <v>10</v>
      </c>
      <c r="B292" s="74" cm="1">
        <f t="array" aca="1" ref="B292" ca="1">IF(INDIRECT("'Student_Record 1'!C" &amp; ROW())="", "", INDIRECT("'Student_Record 1'!C" &amp; ROW()))</f>
        <v>671</v>
      </c>
      <c r="C292" s="74" t="str" cm="1">
        <f t="array" aca="1" ref="C292" ca="1">IF(INDIRECT("'Student_Record 1'!E" &amp; ROW())="", "", INDIRECT("'Student_Record 1'!E" &amp; ROW()))</f>
        <v>HEMRAJ JAT</v>
      </c>
      <c r="D292" s="74" t="str" cm="1">
        <f t="array" aca="1" ref="D292" ca="1">IF(INDIRECT("'Student_Record 1'!G" &amp; ROW())="", "", INDIRECT("'Student_Record 1'!G" &amp; ROW()))</f>
        <v>BASRAM JAT</v>
      </c>
      <c r="E292" s="74" t="str" cm="1">
        <f t="array" aca="1" ref="E292" ca="1">IF(INDIRECT("'Student_Record 1'!I" &amp; ROW())="", "", INDIRECT("'Student_Record 1'!I" &amp; ROW()))</f>
        <v>M</v>
      </c>
      <c r="F292" s="74" t="str" cm="1">
        <f t="array" aca="1" ref="F292" ca="1">IF(INDIRECT("'Student_Record 1'!O" &amp; ROW())="", "", INDIRECT("'Student_Record 1'!O" &amp; ROW()))</f>
        <v>OBC</v>
      </c>
      <c r="G292" s="75"/>
      <c r="I292" s="75"/>
      <c r="J292" s="75"/>
      <c r="K292" s="75"/>
      <c r="L292" s="75"/>
      <c r="M292" s="75"/>
      <c r="N292" s="75"/>
      <c r="O292" s="75"/>
      <c r="P292" s="75"/>
      <c r="Q292" s="75"/>
    </row>
    <row r="293" spans="1:17" x14ac:dyDescent="0.25">
      <c r="A293" s="74" cm="1">
        <f t="array" aca="1" ref="A293" ca="1">IF(INDIRECT("'Student_Record 1'!A" &amp; ROW())="", "", INDIRECT("'Student_Record 1'!A" &amp; ROW()))</f>
        <v>10</v>
      </c>
      <c r="B293" s="74" cm="1">
        <f t="array" aca="1" ref="B293" ca="1">IF(INDIRECT("'Student_Record 1'!C" &amp; ROW())="", "", INDIRECT("'Student_Record 1'!C" &amp; ROW()))</f>
        <v>861</v>
      </c>
      <c r="C293" s="74" t="str" cm="1">
        <f t="array" aca="1" ref="C293" ca="1">IF(INDIRECT("'Student_Record 1'!E" &amp; ROW())="", "", INDIRECT("'Student_Record 1'!E" &amp; ROW()))</f>
        <v>ISLAM KHAN</v>
      </c>
      <c r="D293" s="74" t="str" cm="1">
        <f t="array" aca="1" ref="D293" ca="1">IF(INDIRECT("'Student_Record 1'!G" &amp; ROW())="", "", INDIRECT("'Student_Record 1'!G" &amp; ROW()))</f>
        <v>NAZEER KHAN</v>
      </c>
      <c r="E293" s="74" t="str" cm="1">
        <f t="array" aca="1" ref="E293" ca="1">IF(INDIRECT("'Student_Record 1'!I" &amp; ROW())="", "", INDIRECT("'Student_Record 1'!I" &amp; ROW()))</f>
        <v>M</v>
      </c>
      <c r="F293" s="74" t="str" cm="1">
        <f t="array" aca="1" ref="F293" ca="1">IF(INDIRECT("'Student_Record 1'!O" &amp; ROW())="", "", INDIRECT("'Student_Record 1'!O" &amp; ROW()))</f>
        <v>OBC</v>
      </c>
      <c r="G293" s="75"/>
      <c r="I293" s="75"/>
      <c r="J293" s="75"/>
      <c r="K293" s="75"/>
      <c r="L293" s="75"/>
      <c r="M293" s="75"/>
      <c r="N293" s="75"/>
      <c r="O293" s="75"/>
      <c r="P293" s="75"/>
      <c r="Q293" s="75"/>
    </row>
    <row r="294" spans="1:17" x14ac:dyDescent="0.25">
      <c r="A294" s="74" cm="1">
        <f t="array" aca="1" ref="A294" ca="1">IF(INDIRECT("'Student_Record 1'!A" &amp; ROW())="", "", INDIRECT("'Student_Record 1'!A" &amp; ROW()))</f>
        <v>10</v>
      </c>
      <c r="B294" s="74" cm="1">
        <f t="array" aca="1" ref="B294" ca="1">IF(INDIRECT("'Student_Record 1'!C" &amp; ROW())="", "", INDIRECT("'Student_Record 1'!C" &amp; ROW()))</f>
        <v>243</v>
      </c>
      <c r="C294" s="74" t="str" cm="1">
        <f t="array" aca="1" ref="C294" ca="1">IF(INDIRECT("'Student_Record 1'!E" &amp; ROW())="", "", INDIRECT("'Student_Record 1'!E" &amp; ROW()))</f>
        <v>KALU KUMHAR</v>
      </c>
      <c r="D294" s="74" t="str" cm="1">
        <f t="array" aca="1" ref="D294" ca="1">IF(INDIRECT("'Student_Record 1'!G" &amp; ROW())="", "", INDIRECT("'Student_Record 1'!G" &amp; ROW()))</f>
        <v>SHRAWAN KUMHAR</v>
      </c>
      <c r="E294" s="74" t="str" cm="1">
        <f t="array" aca="1" ref="E294" ca="1">IF(INDIRECT("'Student_Record 1'!I" &amp; ROW())="", "", INDIRECT("'Student_Record 1'!I" &amp; ROW()))</f>
        <v>M</v>
      </c>
      <c r="F294" s="74" t="str" cm="1">
        <f t="array" aca="1" ref="F294" ca="1">IF(INDIRECT("'Student_Record 1'!O" &amp; ROW())="", "", INDIRECT("'Student_Record 1'!O" &amp; ROW()))</f>
        <v>OBC</v>
      </c>
      <c r="G294" s="75"/>
      <c r="I294" s="75"/>
      <c r="J294" s="75"/>
      <c r="K294" s="75"/>
      <c r="L294" s="75"/>
      <c r="M294" s="75"/>
      <c r="N294" s="75"/>
      <c r="O294" s="75"/>
      <c r="P294" s="75"/>
      <c r="Q294" s="75"/>
    </row>
    <row r="295" spans="1:17" x14ac:dyDescent="0.25">
      <c r="A295" s="74" cm="1">
        <f t="array" aca="1" ref="A295" ca="1">IF(INDIRECT("'Student_Record 1'!A" &amp; ROW())="", "", INDIRECT("'Student_Record 1'!A" &amp; ROW()))</f>
        <v>10</v>
      </c>
      <c r="B295" s="74" cm="1">
        <f t="array" aca="1" ref="B295" ca="1">IF(INDIRECT("'Student_Record 1'!C" &amp; ROW())="", "", INDIRECT("'Student_Record 1'!C" &amp; ROW()))</f>
        <v>815</v>
      </c>
      <c r="C295" s="74" t="str" cm="1">
        <f t="array" aca="1" ref="C295" ca="1">IF(INDIRECT("'Student_Record 1'!E" &amp; ROW())="", "", INDIRECT("'Student_Record 1'!E" &amp; ROW()))</f>
        <v>Kamlesh Choudhary</v>
      </c>
      <c r="D295" s="74" t="str" cm="1">
        <f t="array" aca="1" ref="D295" ca="1">IF(INDIRECT("'Student_Record 1'!G" &amp; ROW())="", "", INDIRECT("'Student_Record 1'!G" &amp; ROW()))</f>
        <v>Pradhan Choudhary</v>
      </c>
      <c r="E295" s="74" t="str" cm="1">
        <f t="array" aca="1" ref="E295" ca="1">IF(INDIRECT("'Student_Record 1'!I" &amp; ROW())="", "", INDIRECT("'Student_Record 1'!I" &amp; ROW()))</f>
        <v>F</v>
      </c>
      <c r="F295" s="74" t="str" cm="1">
        <f t="array" aca="1" ref="F295" ca="1">IF(INDIRECT("'Student_Record 1'!O" &amp; ROW())="", "", INDIRECT("'Student_Record 1'!O" &amp; ROW()))</f>
        <v>OBC</v>
      </c>
      <c r="G295" s="75"/>
      <c r="I295" s="75"/>
      <c r="J295" s="75"/>
      <c r="K295" s="75"/>
      <c r="L295" s="75"/>
      <c r="M295" s="75"/>
      <c r="N295" s="75"/>
      <c r="O295" s="75"/>
      <c r="P295" s="75"/>
      <c r="Q295" s="75"/>
    </row>
    <row r="296" spans="1:17" x14ac:dyDescent="0.25">
      <c r="A296" s="74" cm="1">
        <f t="array" aca="1" ref="A296" ca="1">IF(INDIRECT("'Student_Record 1'!A" &amp; ROW())="", "", INDIRECT("'Student_Record 1'!A" &amp; ROW()))</f>
        <v>10</v>
      </c>
      <c r="B296" s="74" cm="1">
        <f t="array" aca="1" ref="B296" ca="1">IF(INDIRECT("'Student_Record 1'!C" &amp; ROW())="", "", INDIRECT("'Student_Record 1'!C" &amp; ROW()))</f>
        <v>426</v>
      </c>
      <c r="C296" s="74" t="str" cm="1">
        <f t="array" aca="1" ref="C296" ca="1">IF(INDIRECT("'Student_Record 1'!E" &amp; ROW())="", "", INDIRECT("'Student_Record 1'!E" &amp; ROW()))</f>
        <v>KANHAIYA KUMHAR</v>
      </c>
      <c r="D296" s="74" t="str" cm="1">
        <f t="array" aca="1" ref="D296" ca="1">IF(INDIRECT("'Student_Record 1'!G" &amp; ROW())="", "", INDIRECT("'Student_Record 1'!G" &amp; ROW()))</f>
        <v>KALU RAM KUMHAR</v>
      </c>
      <c r="E296" s="74" t="str" cm="1">
        <f t="array" aca="1" ref="E296" ca="1">IF(INDIRECT("'Student_Record 1'!I" &amp; ROW())="", "", INDIRECT("'Student_Record 1'!I" &amp; ROW()))</f>
        <v>M</v>
      </c>
      <c r="F296" s="74" t="str" cm="1">
        <f t="array" aca="1" ref="F296" ca="1">IF(INDIRECT("'Student_Record 1'!O" &amp; ROW())="", "", INDIRECT("'Student_Record 1'!O" &amp; ROW()))</f>
        <v>OBC</v>
      </c>
      <c r="G296" s="75"/>
      <c r="I296" s="75"/>
      <c r="J296" s="75"/>
      <c r="K296" s="75"/>
      <c r="L296" s="75"/>
      <c r="M296" s="75"/>
      <c r="N296" s="75"/>
      <c r="O296" s="75"/>
      <c r="P296" s="75"/>
      <c r="Q296" s="75"/>
    </row>
    <row r="297" spans="1:17" x14ac:dyDescent="0.25">
      <c r="A297" s="74" cm="1">
        <f t="array" aca="1" ref="A297" ca="1">IF(INDIRECT("'Student_Record 1'!A" &amp; ROW())="", "", INDIRECT("'Student_Record 1'!A" &amp; ROW()))</f>
        <v>10</v>
      </c>
      <c r="B297" s="74" cm="1">
        <f t="array" aca="1" ref="B297" ca="1">IF(INDIRECT("'Student_Record 1'!C" &amp; ROW())="", "", INDIRECT("'Student_Record 1'!C" &amp; ROW()))</f>
        <v>663</v>
      </c>
      <c r="C297" s="74" t="str" cm="1">
        <f t="array" aca="1" ref="C297" ca="1">IF(INDIRECT("'Student_Record 1'!E" &amp; ROW())="", "", INDIRECT("'Student_Record 1'!E" &amp; ROW()))</f>
        <v>KARTAR CHOUDHARY</v>
      </c>
      <c r="D297" s="74" t="str" cm="1">
        <f t="array" aca="1" ref="D297" ca="1">IF(INDIRECT("'Student_Record 1'!G" &amp; ROW())="", "", INDIRECT("'Student_Record 1'!G" &amp; ROW()))</f>
        <v>RAMRAJ CHOUDHARY</v>
      </c>
      <c r="E297" s="74" t="str" cm="1">
        <f t="array" aca="1" ref="E297" ca="1">IF(INDIRECT("'Student_Record 1'!I" &amp; ROW())="", "", INDIRECT("'Student_Record 1'!I" &amp; ROW()))</f>
        <v>M</v>
      </c>
      <c r="F297" s="74" t="str" cm="1">
        <f t="array" aca="1" ref="F297" ca="1">IF(INDIRECT("'Student_Record 1'!O" &amp; ROW())="", "", INDIRECT("'Student_Record 1'!O" &amp; ROW()))</f>
        <v>OBC</v>
      </c>
      <c r="G297" s="75"/>
      <c r="I297" s="75"/>
      <c r="J297" s="75"/>
      <c r="K297" s="75"/>
      <c r="L297" s="75"/>
      <c r="M297" s="75"/>
      <c r="N297" s="75"/>
      <c r="O297" s="75"/>
      <c r="P297" s="75"/>
      <c r="Q297" s="75"/>
    </row>
    <row r="298" spans="1:17" x14ac:dyDescent="0.25">
      <c r="A298" s="74" cm="1">
        <f t="array" aca="1" ref="A298" ca="1">IF(INDIRECT("'Student_Record 1'!A" &amp; ROW())="", "", INDIRECT("'Student_Record 1'!A" &amp; ROW()))</f>
        <v>10</v>
      </c>
      <c r="B298" s="74" cm="1">
        <f t="array" aca="1" ref="B298" ca="1">IF(INDIRECT("'Student_Record 1'!C" &amp; ROW())="", "", INDIRECT("'Student_Record 1'!C" &amp; ROW()))</f>
        <v>521</v>
      </c>
      <c r="C298" s="74" t="str" cm="1">
        <f t="array" aca="1" ref="C298" ca="1">IF(INDIRECT("'Student_Record 1'!E" &amp; ROW())="", "", INDIRECT("'Student_Record 1'!E" &amp; ROW()))</f>
        <v>KARTIK VAISHNAV</v>
      </c>
      <c r="D298" s="74" t="str" cm="1">
        <f t="array" aca="1" ref="D298" ca="1">IF(INDIRECT("'Student_Record 1'!G" &amp; ROW())="", "", INDIRECT("'Student_Record 1'!G" &amp; ROW()))</f>
        <v>SATYANARAYAN VAISHNAV</v>
      </c>
      <c r="E298" s="74" t="str" cm="1">
        <f t="array" aca="1" ref="E298" ca="1">IF(INDIRECT("'Student_Record 1'!I" &amp; ROW())="", "", INDIRECT("'Student_Record 1'!I" &amp; ROW()))</f>
        <v>M</v>
      </c>
      <c r="F298" s="74" t="str" cm="1">
        <f t="array" aca="1" ref="F298" ca="1">IF(INDIRECT("'Student_Record 1'!O" &amp; ROW())="", "", INDIRECT("'Student_Record 1'!O" &amp; ROW()))</f>
        <v>OBC</v>
      </c>
      <c r="G298" s="75"/>
      <c r="I298" s="75"/>
      <c r="J298" s="75"/>
      <c r="K298" s="75"/>
      <c r="L298" s="75"/>
      <c r="M298" s="75"/>
      <c r="N298" s="75"/>
      <c r="O298" s="75"/>
      <c r="P298" s="75"/>
      <c r="Q298" s="75"/>
    </row>
    <row r="299" spans="1:17" x14ac:dyDescent="0.25">
      <c r="A299" s="74" cm="1">
        <f t="array" aca="1" ref="A299" ca="1">IF(INDIRECT("'Student_Record 1'!A" &amp; ROW())="", "", INDIRECT("'Student_Record 1'!A" &amp; ROW()))</f>
        <v>10</v>
      </c>
      <c r="B299" s="74" cm="1">
        <f t="array" aca="1" ref="B299" ca="1">IF(INDIRECT("'Student_Record 1'!C" &amp; ROW())="", "", INDIRECT("'Student_Record 1'!C" &amp; ROW()))</f>
        <v>600</v>
      </c>
      <c r="C299" s="74" t="str" cm="1">
        <f t="array" aca="1" ref="C299" ca="1">IF(INDIRECT("'Student_Record 1'!E" &amp; ROW())="", "", INDIRECT("'Student_Record 1'!E" &amp; ROW()))</f>
        <v>KAVITA PRAJAPAT</v>
      </c>
      <c r="D299" s="74" t="str" cm="1">
        <f t="array" aca="1" ref="D299" ca="1">IF(INDIRECT("'Student_Record 1'!G" &amp; ROW())="", "", INDIRECT("'Student_Record 1'!G" &amp; ROW()))</f>
        <v>BASRAM PRAJAPAT</v>
      </c>
      <c r="E299" s="74" t="str" cm="1">
        <f t="array" aca="1" ref="E299" ca="1">IF(INDIRECT("'Student_Record 1'!I" &amp; ROW())="", "", INDIRECT("'Student_Record 1'!I" &amp; ROW()))</f>
        <v>F</v>
      </c>
      <c r="F299" s="74" t="str" cm="1">
        <f t="array" aca="1" ref="F299" ca="1">IF(INDIRECT("'Student_Record 1'!O" &amp; ROW())="", "", INDIRECT("'Student_Record 1'!O" &amp; ROW()))</f>
        <v>OBC</v>
      </c>
      <c r="G299" s="75"/>
      <c r="I299" s="75"/>
      <c r="J299" s="75"/>
      <c r="K299" s="75"/>
      <c r="L299" s="75"/>
      <c r="M299" s="75"/>
      <c r="N299" s="75"/>
      <c r="O299" s="75"/>
      <c r="P299" s="75"/>
      <c r="Q299" s="75"/>
    </row>
    <row r="300" spans="1:17" x14ac:dyDescent="0.25">
      <c r="A300" s="74" cm="1">
        <f t="array" aca="1" ref="A300" ca="1">IF(INDIRECT("'Student_Record 1'!A" &amp; ROW())="", "", INDIRECT("'Student_Record 1'!A" &amp; ROW()))</f>
        <v>10</v>
      </c>
      <c r="B300" s="74" cm="1">
        <f t="array" aca="1" ref="B300" ca="1">IF(INDIRECT("'Student_Record 1'!C" &amp; ROW())="", "", INDIRECT("'Student_Record 1'!C" &amp; ROW()))</f>
        <v>299</v>
      </c>
      <c r="C300" s="74" t="str" cm="1">
        <f t="array" aca="1" ref="C300" ca="1">IF(INDIRECT("'Student_Record 1'!E" &amp; ROW())="", "", INDIRECT("'Student_Record 1'!E" &amp; ROW()))</f>
        <v>KHUSHI RAM JAT</v>
      </c>
      <c r="D300" s="74" t="str" cm="1">
        <f t="array" aca="1" ref="D300" ca="1">IF(INDIRECT("'Student_Record 1'!G" &amp; ROW())="", "", INDIRECT("'Student_Record 1'!G" &amp; ROW()))</f>
        <v>RAM LAL JAT</v>
      </c>
      <c r="E300" s="74" t="str" cm="1">
        <f t="array" aca="1" ref="E300" ca="1">IF(INDIRECT("'Student_Record 1'!I" &amp; ROW())="", "", INDIRECT("'Student_Record 1'!I" &amp; ROW()))</f>
        <v>M</v>
      </c>
      <c r="F300" s="74" t="str" cm="1">
        <f t="array" aca="1" ref="F300" ca="1">IF(INDIRECT("'Student_Record 1'!O" &amp; ROW())="", "", INDIRECT("'Student_Record 1'!O" &amp; ROW()))</f>
        <v>OBC</v>
      </c>
      <c r="G300" s="75"/>
      <c r="I300" s="75"/>
      <c r="J300" s="75"/>
      <c r="K300" s="75"/>
      <c r="L300" s="75"/>
      <c r="M300" s="75"/>
      <c r="N300" s="75"/>
      <c r="O300" s="75"/>
      <c r="P300" s="75"/>
      <c r="Q300" s="75"/>
    </row>
    <row r="301" spans="1:17" x14ac:dyDescent="0.25">
      <c r="A301" s="74" cm="1">
        <f t="array" aca="1" ref="A301" ca="1">IF(INDIRECT("'Student_Record 1'!A" &amp; ROW())="", "", INDIRECT("'Student_Record 1'!A" &amp; ROW()))</f>
        <v>10</v>
      </c>
      <c r="B301" s="74" cm="1">
        <f t="array" aca="1" ref="B301" ca="1">IF(INDIRECT("'Student_Record 1'!C" &amp; ROW())="", "", INDIRECT("'Student_Record 1'!C" &amp; ROW()))</f>
        <v>393</v>
      </c>
      <c r="C301" s="74" t="str" cm="1">
        <f t="array" aca="1" ref="C301" ca="1">IF(INDIRECT("'Student_Record 1'!E" &amp; ROW())="", "", INDIRECT("'Student_Record 1'!E" &amp; ROW()))</f>
        <v>MANISHA CHOUDHARY</v>
      </c>
      <c r="D301" s="74" t="str" cm="1">
        <f t="array" aca="1" ref="D301" ca="1">IF(INDIRECT("'Student_Record 1'!G" &amp; ROW())="", "", INDIRECT("'Student_Record 1'!G" &amp; ROW()))</f>
        <v>SONARAYAN CHOUDHARY</v>
      </c>
      <c r="E301" s="74" t="str" cm="1">
        <f t="array" aca="1" ref="E301" ca="1">IF(INDIRECT("'Student_Record 1'!I" &amp; ROW())="", "", INDIRECT("'Student_Record 1'!I" &amp; ROW()))</f>
        <v>F</v>
      </c>
      <c r="F301" s="74" t="str" cm="1">
        <f t="array" aca="1" ref="F301" ca="1">IF(INDIRECT("'Student_Record 1'!O" &amp; ROW())="", "", INDIRECT("'Student_Record 1'!O" &amp; ROW()))</f>
        <v>OBC</v>
      </c>
      <c r="G301" s="75"/>
      <c r="I301" s="75"/>
      <c r="J301" s="75"/>
      <c r="K301" s="75"/>
      <c r="L301" s="75"/>
      <c r="M301" s="75"/>
      <c r="N301" s="75"/>
      <c r="O301" s="75"/>
      <c r="P301" s="75"/>
      <c r="Q301" s="75"/>
    </row>
    <row r="302" spans="1:17" x14ac:dyDescent="0.25">
      <c r="A302" s="74" cm="1">
        <f t="array" aca="1" ref="A302" ca="1">IF(INDIRECT("'Student_Record 1'!A" &amp; ROW())="", "", INDIRECT("'Student_Record 1'!A" &amp; ROW()))</f>
        <v>10</v>
      </c>
      <c r="B302" s="74" cm="1">
        <f t="array" aca="1" ref="B302" ca="1">IF(INDIRECT("'Student_Record 1'!C" &amp; ROW())="", "", INDIRECT("'Student_Record 1'!C" &amp; ROW()))</f>
        <v>785</v>
      </c>
      <c r="C302" s="74" t="str" cm="1">
        <f t="array" aca="1" ref="C302" ca="1">IF(INDIRECT("'Student_Record 1'!E" &amp; ROW())="", "", INDIRECT("'Student_Record 1'!E" &amp; ROW()))</f>
        <v>MANISHA JAT</v>
      </c>
      <c r="D302" s="74" t="str" cm="1">
        <f t="array" aca="1" ref="D302" ca="1">IF(INDIRECT("'Student_Record 1'!G" &amp; ROW())="", "", INDIRECT("'Student_Record 1'!G" &amp; ROW()))</f>
        <v>BHAGCHAND JAT</v>
      </c>
      <c r="E302" s="74" t="str" cm="1">
        <f t="array" aca="1" ref="E302" ca="1">IF(INDIRECT("'Student_Record 1'!I" &amp; ROW())="", "", INDIRECT("'Student_Record 1'!I" &amp; ROW()))</f>
        <v>F</v>
      </c>
      <c r="F302" s="74" t="str" cm="1">
        <f t="array" aca="1" ref="F302" ca="1">IF(INDIRECT("'Student_Record 1'!O" &amp; ROW())="", "", INDIRECT("'Student_Record 1'!O" &amp; ROW()))</f>
        <v>OBC</v>
      </c>
      <c r="G302" s="75"/>
      <c r="I302" s="75"/>
      <c r="J302" s="75"/>
      <c r="K302" s="75"/>
      <c r="L302" s="75"/>
      <c r="M302" s="75"/>
      <c r="N302" s="75"/>
      <c r="O302" s="75"/>
      <c r="P302" s="75"/>
      <c r="Q302" s="75"/>
    </row>
    <row r="303" spans="1:17" x14ac:dyDescent="0.25">
      <c r="A303" s="74" cm="1">
        <f t="array" aca="1" ref="A303" ca="1">IF(INDIRECT("'Student_Record 1'!A" &amp; ROW())="", "", INDIRECT("'Student_Record 1'!A" &amp; ROW()))</f>
        <v>10</v>
      </c>
      <c r="B303" s="74" cm="1">
        <f t="array" aca="1" ref="B303" ca="1">IF(INDIRECT("'Student_Record 1'!C" &amp; ROW())="", "", INDIRECT("'Student_Record 1'!C" &amp; ROW()))</f>
        <v>595</v>
      </c>
      <c r="C303" s="74" t="str" cm="1">
        <f t="array" aca="1" ref="C303" ca="1">IF(INDIRECT("'Student_Record 1'!E" &amp; ROW())="", "", INDIRECT("'Student_Record 1'!E" &amp; ROW()))</f>
        <v>Manoj Prajapat</v>
      </c>
      <c r="D303" s="74" t="str" cm="1">
        <f t="array" aca="1" ref="D303" ca="1">IF(INDIRECT("'Student_Record 1'!G" &amp; ROW())="", "", INDIRECT("'Student_Record 1'!G" &amp; ROW()))</f>
        <v>Devkaran Prajapat</v>
      </c>
      <c r="E303" s="74" t="str" cm="1">
        <f t="array" aca="1" ref="E303" ca="1">IF(INDIRECT("'Student_Record 1'!I" &amp; ROW())="", "", INDIRECT("'Student_Record 1'!I" &amp; ROW()))</f>
        <v>M</v>
      </c>
      <c r="F303" s="74" t="str" cm="1">
        <f t="array" aca="1" ref="F303" ca="1">IF(INDIRECT("'Student_Record 1'!O" &amp; ROW())="", "", INDIRECT("'Student_Record 1'!O" &amp; ROW()))</f>
        <v>OBC</v>
      </c>
      <c r="G303" s="75"/>
      <c r="I303" s="75"/>
      <c r="J303" s="75"/>
      <c r="K303" s="75"/>
      <c r="L303" s="75"/>
      <c r="M303" s="75"/>
      <c r="N303" s="75"/>
      <c r="O303" s="75"/>
      <c r="P303" s="75"/>
      <c r="Q303" s="75"/>
    </row>
    <row r="304" spans="1:17" x14ac:dyDescent="0.25">
      <c r="A304" s="74" cm="1">
        <f t="array" aca="1" ref="A304" ca="1">IF(INDIRECT("'Student_Record 1'!A" &amp; ROW())="", "", INDIRECT("'Student_Record 1'!A" &amp; ROW()))</f>
        <v>10</v>
      </c>
      <c r="B304" s="74" cm="1">
        <f t="array" aca="1" ref="B304" ca="1">IF(INDIRECT("'Student_Record 1'!C" &amp; ROW())="", "", INDIRECT("'Student_Record 1'!C" &amp; ROW()))</f>
        <v>260</v>
      </c>
      <c r="C304" s="74" t="str" cm="1">
        <f t="array" aca="1" ref="C304" ca="1">IF(INDIRECT("'Student_Record 1'!E" &amp; ROW())="", "", INDIRECT("'Student_Record 1'!E" &amp; ROW()))</f>
        <v>MANSHA JAT</v>
      </c>
      <c r="D304" s="74" t="str" cm="1">
        <f t="array" aca="1" ref="D304" ca="1">IF(INDIRECT("'Student_Record 1'!G" &amp; ROW())="", "", INDIRECT("'Student_Record 1'!G" &amp; ROW()))</f>
        <v>KALU RAM JAT</v>
      </c>
      <c r="E304" s="74" t="str" cm="1">
        <f t="array" aca="1" ref="E304" ca="1">IF(INDIRECT("'Student_Record 1'!I" &amp; ROW())="", "", INDIRECT("'Student_Record 1'!I" &amp; ROW()))</f>
        <v>F</v>
      </c>
      <c r="F304" s="74" t="str" cm="1">
        <f t="array" aca="1" ref="F304" ca="1">IF(INDIRECT("'Student_Record 1'!O" &amp; ROW())="", "", INDIRECT("'Student_Record 1'!O" &amp; ROW()))</f>
        <v>OBC</v>
      </c>
      <c r="G304" s="75"/>
      <c r="I304" s="75"/>
      <c r="J304" s="75"/>
      <c r="K304" s="75"/>
      <c r="L304" s="75"/>
      <c r="M304" s="75"/>
      <c r="N304" s="75"/>
      <c r="O304" s="75"/>
      <c r="P304" s="75"/>
      <c r="Q304" s="75"/>
    </row>
    <row r="305" spans="1:17" x14ac:dyDescent="0.25">
      <c r="A305" s="74" cm="1">
        <f t="array" aca="1" ref="A305" ca="1">IF(INDIRECT("'Student_Record 1'!A" &amp; ROW())="", "", INDIRECT("'Student_Record 1'!A" &amp; ROW()))</f>
        <v>10</v>
      </c>
      <c r="B305" s="74" cm="1">
        <f t="array" aca="1" ref="B305" ca="1">IF(INDIRECT("'Student_Record 1'!C" &amp; ROW())="", "", INDIRECT("'Student_Record 1'!C" &amp; ROW()))</f>
        <v>300</v>
      </c>
      <c r="C305" s="74" t="str" cm="1">
        <f t="array" aca="1" ref="C305" ca="1">IF(INDIRECT("'Student_Record 1'!E" &amp; ROW())="", "", INDIRECT("'Student_Record 1'!E" &amp; ROW()))</f>
        <v>NARAJ PRAJAPAT</v>
      </c>
      <c r="D305" s="74" t="str" cm="1">
        <f t="array" aca="1" ref="D305" ca="1">IF(INDIRECT("'Student_Record 1'!G" &amp; ROW())="", "", INDIRECT("'Student_Record 1'!G" &amp; ROW()))</f>
        <v>KAILASH PRAJAPAT</v>
      </c>
      <c r="E305" s="74" t="str" cm="1">
        <f t="array" aca="1" ref="E305" ca="1">IF(INDIRECT("'Student_Record 1'!I" &amp; ROW())="", "", INDIRECT("'Student_Record 1'!I" &amp; ROW()))</f>
        <v>F</v>
      </c>
      <c r="F305" s="74" t="str" cm="1">
        <f t="array" aca="1" ref="F305" ca="1">IF(INDIRECT("'Student_Record 1'!O" &amp; ROW())="", "", INDIRECT("'Student_Record 1'!O" &amp; ROW()))</f>
        <v>OBC</v>
      </c>
      <c r="G305" s="75"/>
      <c r="I305" s="75"/>
      <c r="J305" s="75"/>
      <c r="K305" s="75"/>
      <c r="L305" s="75"/>
      <c r="M305" s="75"/>
      <c r="N305" s="75"/>
      <c r="O305" s="75"/>
      <c r="P305" s="75"/>
      <c r="Q305" s="75"/>
    </row>
    <row r="306" spans="1:17" x14ac:dyDescent="0.25">
      <c r="A306" s="74" cm="1">
        <f t="array" aca="1" ref="A306" ca="1">IF(INDIRECT("'Student_Record 1'!A" &amp; ROW())="", "", INDIRECT("'Student_Record 1'!A" &amp; ROW()))</f>
        <v>10</v>
      </c>
      <c r="B306" s="74" cm="1">
        <f t="array" aca="1" ref="B306" ca="1">IF(INDIRECT("'Student_Record 1'!C" &amp; ROW())="", "", INDIRECT("'Student_Record 1'!C" &amp; ROW()))</f>
        <v>834</v>
      </c>
      <c r="C306" s="74" t="str" cm="1">
        <f t="array" aca="1" ref="C306" ca="1">IF(INDIRECT("'Student_Record 1'!E" &amp; ROW())="", "", INDIRECT("'Student_Record 1'!E" &amp; ROW()))</f>
        <v>NARGIS BANO</v>
      </c>
      <c r="D306" s="74" t="str" cm="1">
        <f t="array" aca="1" ref="D306" ca="1">IF(INDIRECT("'Student_Record 1'!G" &amp; ROW())="", "", INDIRECT("'Student_Record 1'!G" &amp; ROW()))</f>
        <v>RAFIK MOHAMMAD</v>
      </c>
      <c r="E306" s="74" t="str" cm="1">
        <f t="array" aca="1" ref="E306" ca="1">IF(INDIRECT("'Student_Record 1'!I" &amp; ROW())="", "", INDIRECT("'Student_Record 1'!I" &amp; ROW()))</f>
        <v>F</v>
      </c>
      <c r="F306" s="74" t="str" cm="1">
        <f t="array" aca="1" ref="F306" ca="1">IF(INDIRECT("'Student_Record 1'!O" &amp; ROW())="", "", INDIRECT("'Student_Record 1'!O" &amp; ROW()))</f>
        <v>OBC</v>
      </c>
      <c r="G306" s="75"/>
      <c r="I306" s="75"/>
      <c r="J306" s="75"/>
      <c r="K306" s="75"/>
      <c r="L306" s="75"/>
      <c r="M306" s="75"/>
      <c r="N306" s="75"/>
      <c r="O306" s="75"/>
      <c r="P306" s="75"/>
      <c r="Q306" s="75"/>
    </row>
    <row r="307" spans="1:17" x14ac:dyDescent="0.25">
      <c r="A307" s="74" cm="1">
        <f t="array" aca="1" ref="A307" ca="1">IF(INDIRECT("'Student_Record 1'!A" &amp; ROW())="", "", INDIRECT("'Student_Record 1'!A" &amp; ROW()))</f>
        <v>10</v>
      </c>
      <c r="B307" s="74" cm="1">
        <f t="array" aca="1" ref="B307" ca="1">IF(INDIRECT("'Student_Record 1'!C" &amp; ROW())="", "", INDIRECT("'Student_Record 1'!C" &amp; ROW()))</f>
        <v>336</v>
      </c>
      <c r="C307" s="74" t="str" cm="1">
        <f t="array" aca="1" ref="C307" ca="1">IF(INDIRECT("'Student_Record 1'!E" &amp; ROW())="", "", INDIRECT("'Student_Record 1'!E" &amp; ROW()))</f>
        <v>NEETU CHOUDHARY</v>
      </c>
      <c r="D307" s="74" t="str" cm="1">
        <f t="array" aca="1" ref="D307" ca="1">IF(INDIRECT("'Student_Record 1'!G" &amp; ROW())="", "", INDIRECT("'Student_Record 1'!G" &amp; ROW()))</f>
        <v>KARTAR CHOUDHARY</v>
      </c>
      <c r="E307" s="74" t="str" cm="1">
        <f t="array" aca="1" ref="E307" ca="1">IF(INDIRECT("'Student_Record 1'!I" &amp; ROW())="", "", INDIRECT("'Student_Record 1'!I" &amp; ROW()))</f>
        <v>F</v>
      </c>
      <c r="F307" s="74" t="str" cm="1">
        <f t="array" aca="1" ref="F307" ca="1">IF(INDIRECT("'Student_Record 1'!O" &amp; ROW())="", "", INDIRECT("'Student_Record 1'!O" &amp; ROW()))</f>
        <v>OBC</v>
      </c>
      <c r="G307" s="75"/>
      <c r="I307" s="75"/>
      <c r="J307" s="75"/>
      <c r="K307" s="75"/>
      <c r="L307" s="75"/>
      <c r="M307" s="75"/>
      <c r="N307" s="75"/>
      <c r="O307" s="75"/>
      <c r="P307" s="75"/>
      <c r="Q307" s="75"/>
    </row>
    <row r="308" spans="1:17" x14ac:dyDescent="0.25">
      <c r="A308" s="74" cm="1">
        <f t="array" aca="1" ref="A308" ca="1">IF(INDIRECT("'Student_Record 1'!A" &amp; ROW())="", "", INDIRECT("'Student_Record 1'!A" &amp; ROW()))</f>
        <v>10</v>
      </c>
      <c r="B308" s="74" cm="1">
        <f t="array" aca="1" ref="B308" ca="1">IF(INDIRECT("'Student_Record 1'!C" &amp; ROW())="", "", INDIRECT("'Student_Record 1'!C" &amp; ROW()))</f>
        <v>764</v>
      </c>
      <c r="C308" s="74" t="str" cm="1">
        <f t="array" aca="1" ref="C308" ca="1">IF(INDIRECT("'Student_Record 1'!E" &amp; ROW())="", "", INDIRECT("'Student_Record 1'!E" &amp; ROW()))</f>
        <v>PRAKASH CHOUDHARY</v>
      </c>
      <c r="D308" s="74" t="str" cm="1">
        <f t="array" aca="1" ref="D308" ca="1">IF(INDIRECT("'Student_Record 1'!G" &amp; ROW())="", "", INDIRECT("'Student_Record 1'!G" &amp; ROW()))</f>
        <v>RAMSINGH CHOUDHARY</v>
      </c>
      <c r="E308" s="74" t="str" cm="1">
        <f t="array" aca="1" ref="E308" ca="1">IF(INDIRECT("'Student_Record 1'!I" &amp; ROW())="", "", INDIRECT("'Student_Record 1'!I" &amp; ROW()))</f>
        <v>M</v>
      </c>
      <c r="F308" s="74" t="str" cm="1">
        <f t="array" aca="1" ref="F308" ca="1">IF(INDIRECT("'Student_Record 1'!O" &amp; ROW())="", "", INDIRECT("'Student_Record 1'!O" &amp; ROW()))</f>
        <v>OBC</v>
      </c>
      <c r="G308" s="75"/>
      <c r="I308" s="75"/>
      <c r="J308" s="75"/>
      <c r="K308" s="75"/>
      <c r="L308" s="75"/>
      <c r="M308" s="75"/>
      <c r="N308" s="75"/>
      <c r="O308" s="75"/>
      <c r="P308" s="75"/>
      <c r="Q308" s="75"/>
    </row>
    <row r="309" spans="1:17" x14ac:dyDescent="0.25">
      <c r="A309" s="74" cm="1">
        <f t="array" aca="1" ref="A309" ca="1">IF(INDIRECT("'Student_Record 1'!A" &amp; ROW())="", "", INDIRECT("'Student_Record 1'!A" &amp; ROW()))</f>
        <v>10</v>
      </c>
      <c r="B309" s="74" cm="1">
        <f t="array" aca="1" ref="B309" ca="1">IF(INDIRECT("'Student_Record 1'!C" &amp; ROW())="", "", INDIRECT("'Student_Record 1'!C" &amp; ROW()))</f>
        <v>345</v>
      </c>
      <c r="C309" s="74" t="str" cm="1">
        <f t="array" aca="1" ref="C309" ca="1">IF(INDIRECT("'Student_Record 1'!E" &amp; ROW())="", "", INDIRECT("'Student_Record 1'!E" &amp; ROW()))</f>
        <v>PRAVEEN CHOUDHARY</v>
      </c>
      <c r="D309" s="74" t="str" cm="1">
        <f t="array" aca="1" ref="D309" ca="1">IF(INDIRECT("'Student_Record 1'!G" &amp; ROW())="", "", INDIRECT("'Student_Record 1'!G" &amp; ROW()))</f>
        <v>HETRAM CHOUADHARY</v>
      </c>
      <c r="E309" s="74" t="str" cm="1">
        <f t="array" aca="1" ref="E309" ca="1">IF(INDIRECT("'Student_Record 1'!I" &amp; ROW())="", "", INDIRECT("'Student_Record 1'!I" &amp; ROW()))</f>
        <v>M</v>
      </c>
      <c r="F309" s="74" t="str" cm="1">
        <f t="array" aca="1" ref="F309" ca="1">IF(INDIRECT("'Student_Record 1'!O" &amp; ROW())="", "", INDIRECT("'Student_Record 1'!O" &amp; ROW()))</f>
        <v>OBC</v>
      </c>
      <c r="G309" s="75"/>
      <c r="I309" s="75"/>
      <c r="J309" s="75"/>
      <c r="K309" s="75"/>
      <c r="L309" s="75"/>
      <c r="M309" s="75"/>
      <c r="N309" s="75"/>
      <c r="O309" s="75"/>
      <c r="P309" s="75"/>
      <c r="Q309" s="75"/>
    </row>
    <row r="310" spans="1:17" x14ac:dyDescent="0.25">
      <c r="A310" s="74" cm="1">
        <f t="array" aca="1" ref="A310" ca="1">IF(INDIRECT("'Student_Record 1'!A" &amp; ROW())="", "", INDIRECT("'Student_Record 1'!A" &amp; ROW()))</f>
        <v>10</v>
      </c>
      <c r="B310" s="74" cm="1">
        <f t="array" aca="1" ref="B310" ca="1">IF(INDIRECT("'Student_Record 1'!C" &amp; ROW())="", "", INDIRECT("'Student_Record 1'!C" &amp; ROW()))</f>
        <v>508</v>
      </c>
      <c r="C310" s="74" t="str" cm="1">
        <f t="array" aca="1" ref="C310" ca="1">IF(INDIRECT("'Student_Record 1'!E" &amp; ROW())="", "", INDIRECT("'Student_Record 1'!E" &amp; ROW()))</f>
        <v>PRIYANKA JAT</v>
      </c>
      <c r="D310" s="74" t="str" cm="1">
        <f t="array" aca="1" ref="D310" ca="1">IF(INDIRECT("'Student_Record 1'!G" &amp; ROW())="", "", INDIRECT("'Student_Record 1'!G" &amp; ROW()))</f>
        <v>KANARAM JAT</v>
      </c>
      <c r="E310" s="74" t="str" cm="1">
        <f t="array" aca="1" ref="E310" ca="1">IF(INDIRECT("'Student_Record 1'!I" &amp; ROW())="", "", INDIRECT("'Student_Record 1'!I" &amp; ROW()))</f>
        <v>F</v>
      </c>
      <c r="F310" s="74" t="str" cm="1">
        <f t="array" aca="1" ref="F310" ca="1">IF(INDIRECT("'Student_Record 1'!O" &amp; ROW())="", "", INDIRECT("'Student_Record 1'!O" &amp; ROW()))</f>
        <v>OBC</v>
      </c>
      <c r="G310" s="75"/>
      <c r="I310" s="75"/>
      <c r="J310" s="75"/>
      <c r="K310" s="75"/>
      <c r="L310" s="75"/>
      <c r="M310" s="75"/>
      <c r="N310" s="75"/>
      <c r="O310" s="75"/>
      <c r="P310" s="75"/>
      <c r="Q310" s="75"/>
    </row>
    <row r="311" spans="1:17" x14ac:dyDescent="0.25">
      <c r="A311" s="74" cm="1">
        <f t="array" aca="1" ref="A311" ca="1">IF(INDIRECT("'Student_Record 1'!A" &amp; ROW())="", "", INDIRECT("'Student_Record 1'!A" &amp; ROW()))</f>
        <v>10</v>
      </c>
      <c r="B311" s="74" cm="1">
        <f t="array" aca="1" ref="B311" ca="1">IF(INDIRECT("'Student_Record 1'!C" &amp; ROW())="", "", INDIRECT("'Student_Record 1'!C" &amp; ROW()))</f>
        <v>554</v>
      </c>
      <c r="C311" s="74" t="str" cm="1">
        <f t="array" aca="1" ref="C311" ca="1">IF(INDIRECT("'Student_Record 1'!E" &amp; ROW())="", "", INDIRECT("'Student_Record 1'!E" &amp; ROW()))</f>
        <v>RAHUL MEGHWANSHI</v>
      </c>
      <c r="D311" s="74" t="str" cm="1">
        <f t="array" aca="1" ref="D311" ca="1">IF(INDIRECT("'Student_Record 1'!G" &amp; ROW())="", "", INDIRECT("'Student_Record 1'!G" &amp; ROW()))</f>
        <v>BADRI MEGHWANSHI</v>
      </c>
      <c r="E311" s="74" t="str" cm="1">
        <f t="array" aca="1" ref="E311" ca="1">IF(INDIRECT("'Student_Record 1'!I" &amp; ROW())="", "", INDIRECT("'Student_Record 1'!I" &amp; ROW()))</f>
        <v>M</v>
      </c>
      <c r="F311" s="74" t="str" cm="1">
        <f t="array" aca="1" ref="F311" ca="1">IF(INDIRECT("'Student_Record 1'!O" &amp; ROW())="", "", INDIRECT("'Student_Record 1'!O" &amp; ROW()))</f>
        <v>SC</v>
      </c>
      <c r="G311" s="75"/>
      <c r="I311" s="75"/>
      <c r="J311" s="75"/>
      <c r="K311" s="75"/>
      <c r="L311" s="75"/>
      <c r="M311" s="75"/>
      <c r="N311" s="75"/>
      <c r="O311" s="75"/>
      <c r="P311" s="75"/>
      <c r="Q311" s="75"/>
    </row>
    <row r="312" spans="1:17" x14ac:dyDescent="0.25">
      <c r="A312" s="74" cm="1">
        <f t="array" aca="1" ref="A312" ca="1">IF(INDIRECT("'Student_Record 1'!A" &amp; ROW())="", "", INDIRECT("'Student_Record 1'!A" &amp; ROW()))</f>
        <v>10</v>
      </c>
      <c r="B312" s="74" cm="1">
        <f t="array" aca="1" ref="B312" ca="1">IF(INDIRECT("'Student_Record 1'!C" &amp; ROW())="", "", INDIRECT("'Student_Record 1'!C" &amp; ROW()))</f>
        <v>917</v>
      </c>
      <c r="C312" s="74" t="str" cm="1">
        <f t="array" aca="1" ref="C312" ca="1">IF(INDIRECT("'Student_Record 1'!E" &amp; ROW())="", "", INDIRECT("'Student_Record 1'!E" &amp; ROW()))</f>
        <v>RINKU CHOUDHARY</v>
      </c>
      <c r="D312" s="74" t="str" cm="1">
        <f t="array" aca="1" ref="D312" ca="1">IF(INDIRECT("'Student_Record 1'!G" &amp; ROW())="", "", INDIRECT("'Student_Record 1'!G" &amp; ROW()))</f>
        <v>RAMSWARUP CHOUDHARY</v>
      </c>
      <c r="E312" s="74" t="str" cm="1">
        <f t="array" aca="1" ref="E312" ca="1">IF(INDIRECT("'Student_Record 1'!I" &amp; ROW())="", "", INDIRECT("'Student_Record 1'!I" &amp; ROW()))</f>
        <v>F</v>
      </c>
      <c r="F312" s="74" t="str" cm="1">
        <f t="array" aca="1" ref="F312" ca="1">IF(INDIRECT("'Student_Record 1'!O" &amp; ROW())="", "", INDIRECT("'Student_Record 1'!O" &amp; ROW()))</f>
        <v>OBC</v>
      </c>
      <c r="G312" s="75"/>
      <c r="I312" s="75"/>
      <c r="J312" s="75"/>
      <c r="K312" s="75"/>
      <c r="L312" s="75"/>
      <c r="M312" s="75"/>
      <c r="N312" s="75"/>
      <c r="O312" s="75"/>
      <c r="P312" s="75"/>
      <c r="Q312" s="75"/>
    </row>
    <row r="313" spans="1:17" x14ac:dyDescent="0.25">
      <c r="A313" s="74" cm="1">
        <f t="array" aca="1" ref="A313" ca="1">IF(INDIRECT("'Student_Record 1'!A" &amp; ROW())="", "", INDIRECT("'Student_Record 1'!A" &amp; ROW()))</f>
        <v>10</v>
      </c>
      <c r="B313" s="74" cm="1">
        <f t="array" aca="1" ref="B313" ca="1">IF(INDIRECT("'Student_Record 1'!C" &amp; ROW())="", "", INDIRECT("'Student_Record 1'!C" &amp; ROW()))</f>
        <v>655</v>
      </c>
      <c r="C313" s="74" t="str" cm="1">
        <f t="array" aca="1" ref="C313" ca="1">IF(INDIRECT("'Student_Record 1'!E" &amp; ROW())="", "", INDIRECT("'Student_Record 1'!E" &amp; ROW()))</f>
        <v>RINKU JAT</v>
      </c>
      <c r="D313" s="74" t="str" cm="1">
        <f t="array" aca="1" ref="D313" ca="1">IF(INDIRECT("'Student_Record 1'!G" &amp; ROW())="", "", INDIRECT("'Student_Record 1'!G" &amp; ROW()))</f>
        <v>DHANRAJ JAT</v>
      </c>
      <c r="E313" s="74" t="str" cm="1">
        <f t="array" aca="1" ref="E313" ca="1">IF(INDIRECT("'Student_Record 1'!I" &amp; ROW())="", "", INDIRECT("'Student_Record 1'!I" &amp; ROW()))</f>
        <v>F</v>
      </c>
      <c r="F313" s="74" t="str" cm="1">
        <f t="array" aca="1" ref="F313" ca="1">IF(INDIRECT("'Student_Record 1'!O" &amp; ROW())="", "", INDIRECT("'Student_Record 1'!O" &amp; ROW()))</f>
        <v>OBC</v>
      </c>
      <c r="G313" s="75"/>
      <c r="I313" s="75"/>
      <c r="J313" s="75"/>
      <c r="K313" s="75"/>
      <c r="L313" s="75"/>
      <c r="M313" s="75"/>
      <c r="N313" s="75"/>
      <c r="O313" s="75"/>
      <c r="P313" s="75"/>
      <c r="Q313" s="75"/>
    </row>
    <row r="314" spans="1:17" x14ac:dyDescent="0.25">
      <c r="A314" s="74" cm="1">
        <f t="array" aca="1" ref="A314" ca="1">IF(INDIRECT("'Student_Record 1'!A" &amp; ROW())="", "", INDIRECT("'Student_Record 1'!A" &amp; ROW()))</f>
        <v>10</v>
      </c>
      <c r="B314" s="74" cm="1">
        <f t="array" aca="1" ref="B314" ca="1">IF(INDIRECT("'Student_Record 1'!C" &amp; ROW())="", "", INDIRECT("'Student_Record 1'!C" &amp; ROW()))</f>
        <v>587</v>
      </c>
      <c r="C314" s="74" t="str" cm="1">
        <f t="array" aca="1" ref="C314" ca="1">IF(INDIRECT("'Student_Record 1'!E" &amp; ROW())="", "", INDIRECT("'Student_Record 1'!E" &amp; ROW()))</f>
        <v>SAHIL KHAN</v>
      </c>
      <c r="D314" s="74" t="str" cm="1">
        <f t="array" aca="1" ref="D314" ca="1">IF(INDIRECT("'Student_Record 1'!G" &amp; ROW())="", "", INDIRECT("'Student_Record 1'!G" &amp; ROW()))</f>
        <v>MOHAMMAD HAKIM</v>
      </c>
      <c r="E314" s="74" t="str" cm="1">
        <f t="array" aca="1" ref="E314" ca="1">IF(INDIRECT("'Student_Record 1'!I" &amp; ROW())="", "", INDIRECT("'Student_Record 1'!I" &amp; ROW()))</f>
        <v>M</v>
      </c>
      <c r="F314" s="74" t="str" cm="1">
        <f t="array" aca="1" ref="F314" ca="1">IF(INDIRECT("'Student_Record 1'!O" &amp; ROW())="", "", INDIRECT("'Student_Record 1'!O" &amp; ROW()))</f>
        <v>OBC</v>
      </c>
      <c r="G314" s="75"/>
      <c r="I314" s="75"/>
      <c r="J314" s="75"/>
      <c r="K314" s="75"/>
      <c r="L314" s="75"/>
      <c r="M314" s="75"/>
      <c r="N314" s="75"/>
      <c r="O314" s="75"/>
      <c r="P314" s="75"/>
      <c r="Q314" s="75"/>
    </row>
    <row r="315" spans="1:17" x14ac:dyDescent="0.25">
      <c r="A315" s="74" cm="1">
        <f t="array" aca="1" ref="A315" ca="1">IF(INDIRECT("'Student_Record 1'!A" &amp; ROW())="", "", INDIRECT("'Student_Record 1'!A" &amp; ROW()))</f>
        <v>10</v>
      </c>
      <c r="B315" s="74" cm="1">
        <f t="array" aca="1" ref="B315" ca="1">IF(INDIRECT("'Student_Record 1'!C" &amp; ROW())="", "", INDIRECT("'Student_Record 1'!C" &amp; ROW()))</f>
        <v>412</v>
      </c>
      <c r="C315" s="74" t="str" cm="1">
        <f t="array" aca="1" ref="C315" ca="1">IF(INDIRECT("'Student_Record 1'!E" &amp; ROW())="", "", INDIRECT("'Student_Record 1'!E" &amp; ROW()))</f>
        <v>SANJU PRAJAPAT</v>
      </c>
      <c r="D315" s="74" t="str" cm="1">
        <f t="array" aca="1" ref="D315" ca="1">IF(INDIRECT("'Student_Record 1'!G" &amp; ROW())="", "", INDIRECT("'Student_Record 1'!G" &amp; ROW()))</f>
        <v>HANUMAN PRAJAPAT</v>
      </c>
      <c r="E315" s="74" t="str" cm="1">
        <f t="array" aca="1" ref="E315" ca="1">IF(INDIRECT("'Student_Record 1'!I" &amp; ROW())="", "", INDIRECT("'Student_Record 1'!I" &amp; ROW()))</f>
        <v>F</v>
      </c>
      <c r="F315" s="74" t="str" cm="1">
        <f t="array" aca="1" ref="F315" ca="1">IF(INDIRECT("'Student_Record 1'!O" &amp; ROW())="", "", INDIRECT("'Student_Record 1'!O" &amp; ROW()))</f>
        <v>OBC</v>
      </c>
      <c r="G315" s="75"/>
      <c r="I315" s="75"/>
      <c r="J315" s="75"/>
      <c r="K315" s="75"/>
      <c r="L315" s="75"/>
      <c r="M315" s="75"/>
      <c r="N315" s="75"/>
      <c r="O315" s="75"/>
      <c r="P315" s="75"/>
      <c r="Q315" s="75"/>
    </row>
    <row r="316" spans="1:17" x14ac:dyDescent="0.25">
      <c r="A316" s="74" cm="1">
        <f t="array" aca="1" ref="A316" ca="1">IF(INDIRECT("'Student_Record 1'!A" &amp; ROW())="", "", INDIRECT("'Student_Record 1'!A" &amp; ROW()))</f>
        <v>10</v>
      </c>
      <c r="B316" s="74" cm="1">
        <f t="array" aca="1" ref="B316" ca="1">IF(INDIRECT("'Student_Record 1'!C" &amp; ROW())="", "", INDIRECT("'Student_Record 1'!C" &amp; ROW()))</f>
        <v>832</v>
      </c>
      <c r="C316" s="74" t="str" cm="1">
        <f t="array" aca="1" ref="C316" ca="1">IF(INDIRECT("'Student_Record 1'!E" &amp; ROW())="", "", INDIRECT("'Student_Record 1'!E" &amp; ROW()))</f>
        <v>SEEMA DEVI BHEEL</v>
      </c>
      <c r="D316" s="74" t="str" cm="1">
        <f t="array" aca="1" ref="D316" ca="1">IF(INDIRECT("'Student_Record 1'!G" &amp; ROW())="", "", INDIRECT("'Student_Record 1'!G" &amp; ROW()))</f>
        <v>BHAIRU LAL BHEEL</v>
      </c>
      <c r="E316" s="74" t="str" cm="1">
        <f t="array" aca="1" ref="E316" ca="1">IF(INDIRECT("'Student_Record 1'!I" &amp; ROW())="", "", INDIRECT("'Student_Record 1'!I" &amp; ROW()))</f>
        <v>F</v>
      </c>
      <c r="F316" s="74" t="str" cm="1">
        <f t="array" aca="1" ref="F316" ca="1">IF(INDIRECT("'Student_Record 1'!O" &amp; ROW())="", "", INDIRECT("'Student_Record 1'!O" &amp; ROW()))</f>
        <v>ST</v>
      </c>
      <c r="G316" s="75"/>
      <c r="I316" s="75"/>
      <c r="J316" s="75"/>
      <c r="K316" s="75"/>
      <c r="L316" s="75"/>
      <c r="M316" s="75"/>
      <c r="N316" s="75"/>
      <c r="O316" s="75"/>
      <c r="P316" s="75"/>
      <c r="Q316" s="75"/>
    </row>
    <row r="317" spans="1:17" x14ac:dyDescent="0.25">
      <c r="A317" s="74" cm="1">
        <f t="array" aca="1" ref="A317" ca="1">IF(INDIRECT("'Student_Record 1'!A" &amp; ROW())="", "", INDIRECT("'Student_Record 1'!A" &amp; ROW()))</f>
        <v>10</v>
      </c>
      <c r="B317" s="74" cm="1">
        <f t="array" aca="1" ref="B317" ca="1">IF(INDIRECT("'Student_Record 1'!C" &amp; ROW())="", "", INDIRECT("'Student_Record 1'!C" &amp; ROW()))</f>
        <v>614</v>
      </c>
      <c r="C317" s="74" t="str" cm="1">
        <f t="array" aca="1" ref="C317" ca="1">IF(INDIRECT("'Student_Record 1'!E" &amp; ROW())="", "", INDIRECT("'Student_Record 1'!E" &amp; ROW()))</f>
        <v>SHANKAR MEGHWANSHI</v>
      </c>
      <c r="D317" s="74" t="str" cm="1">
        <f t="array" aca="1" ref="D317" ca="1">IF(INDIRECT("'Student_Record 1'!G" &amp; ROW())="", "", INDIRECT("'Student_Record 1'!G" &amp; ROW()))</f>
        <v>SEETARAM MEGHWANSHI</v>
      </c>
      <c r="E317" s="74" t="str" cm="1">
        <f t="array" aca="1" ref="E317" ca="1">IF(INDIRECT("'Student_Record 1'!I" &amp; ROW())="", "", INDIRECT("'Student_Record 1'!I" &amp; ROW()))</f>
        <v>M</v>
      </c>
      <c r="F317" s="74" t="str" cm="1">
        <f t="array" aca="1" ref="F317" ca="1">IF(INDIRECT("'Student_Record 1'!O" &amp; ROW())="", "", INDIRECT("'Student_Record 1'!O" &amp; ROW()))</f>
        <v>SC</v>
      </c>
      <c r="G317" s="75"/>
      <c r="I317" s="75"/>
      <c r="J317" s="75"/>
      <c r="K317" s="75"/>
      <c r="L317" s="75"/>
      <c r="M317" s="75"/>
      <c r="N317" s="75"/>
      <c r="O317" s="75"/>
      <c r="P317" s="75"/>
      <c r="Q317" s="75"/>
    </row>
    <row r="318" spans="1:17" x14ac:dyDescent="0.25">
      <c r="A318" s="74" cm="1">
        <f t="array" aca="1" ref="A318" ca="1">IF(INDIRECT("'Student_Record 1'!A" &amp; ROW())="", "", INDIRECT("'Student_Record 1'!A" &amp; ROW()))</f>
        <v>10</v>
      </c>
      <c r="B318" s="74" cm="1">
        <f t="array" aca="1" ref="B318" ca="1">IF(INDIRECT("'Student_Record 1'!C" &amp; ROW())="", "", INDIRECT("'Student_Record 1'!C" &amp; ROW()))</f>
        <v>622</v>
      </c>
      <c r="C318" s="74" t="str" cm="1">
        <f t="array" aca="1" ref="C318" ca="1">IF(INDIRECT("'Student_Record 1'!E" &amp; ROW())="", "", INDIRECT("'Student_Record 1'!E" &amp; ROW()))</f>
        <v>SUMAN DEVI MEGHWANSHI</v>
      </c>
      <c r="D318" s="74" t="str" cm="1">
        <f t="array" aca="1" ref="D318" ca="1">IF(INDIRECT("'Student_Record 1'!G" &amp; ROW())="", "", INDIRECT("'Student_Record 1'!G" &amp; ROW()))</f>
        <v>JATANARAM MEGHWANSHI</v>
      </c>
      <c r="E318" s="74" t="str" cm="1">
        <f t="array" aca="1" ref="E318" ca="1">IF(INDIRECT("'Student_Record 1'!I" &amp; ROW())="", "", INDIRECT("'Student_Record 1'!I" &amp; ROW()))</f>
        <v>F</v>
      </c>
      <c r="F318" s="74" t="str" cm="1">
        <f t="array" aca="1" ref="F318" ca="1">IF(INDIRECT("'Student_Record 1'!O" &amp; ROW())="", "", INDIRECT("'Student_Record 1'!O" &amp; ROW()))</f>
        <v>SC</v>
      </c>
      <c r="G318" s="75"/>
      <c r="I318" s="75"/>
      <c r="J318" s="75"/>
      <c r="K318" s="75"/>
      <c r="L318" s="75"/>
      <c r="M318" s="75"/>
      <c r="N318" s="75"/>
      <c r="O318" s="75"/>
      <c r="P318" s="75"/>
      <c r="Q318" s="75"/>
    </row>
    <row r="319" spans="1:17" x14ac:dyDescent="0.25">
      <c r="A319" s="74" cm="1">
        <f t="array" aca="1" ref="A319" ca="1">IF(INDIRECT("'Student_Record 1'!A" &amp; ROW())="", "", INDIRECT("'Student_Record 1'!A" &amp; ROW()))</f>
        <v>10</v>
      </c>
      <c r="B319" s="74" cm="1">
        <f t="array" aca="1" ref="B319" ca="1">IF(INDIRECT("'Student_Record 1'!C" &amp; ROW())="", "", INDIRECT("'Student_Record 1'!C" &amp; ROW()))</f>
        <v>317</v>
      </c>
      <c r="C319" s="74" t="str" cm="1">
        <f t="array" aca="1" ref="C319" ca="1">IF(INDIRECT("'Student_Record 1'!E" &amp; ROW())="", "", INDIRECT("'Student_Record 1'!E" &amp; ROW()))</f>
        <v>SUMAN PRAJAPAT</v>
      </c>
      <c r="D319" s="74" t="str" cm="1">
        <f t="array" aca="1" ref="D319" ca="1">IF(INDIRECT("'Student_Record 1'!G" &amp; ROW())="", "", INDIRECT("'Student_Record 1'!G" &amp; ROW()))</f>
        <v>MAHAVEER PRAJAPAT</v>
      </c>
      <c r="E319" s="74" t="str" cm="1">
        <f t="array" aca="1" ref="E319" ca="1">IF(INDIRECT("'Student_Record 1'!I" &amp; ROW())="", "", INDIRECT("'Student_Record 1'!I" &amp; ROW()))</f>
        <v>F</v>
      </c>
      <c r="F319" s="74" t="str" cm="1">
        <f t="array" aca="1" ref="F319" ca="1">IF(INDIRECT("'Student_Record 1'!O" &amp; ROW())="", "", INDIRECT("'Student_Record 1'!O" &amp; ROW()))</f>
        <v>OBC</v>
      </c>
      <c r="G319" s="75"/>
      <c r="I319" s="75"/>
      <c r="J319" s="75"/>
      <c r="K319" s="75"/>
      <c r="L319" s="75"/>
      <c r="M319" s="75"/>
      <c r="N319" s="75"/>
      <c r="O319" s="75"/>
      <c r="P319" s="75"/>
      <c r="Q319" s="75"/>
    </row>
    <row r="320" spans="1:17" x14ac:dyDescent="0.25">
      <c r="A320" s="74" cm="1">
        <f t="array" aca="1" ref="A320" ca="1">IF(INDIRECT("'Student_Record 1'!A" &amp; ROW())="", "", INDIRECT("'Student_Record 1'!A" &amp; ROW()))</f>
        <v>10</v>
      </c>
      <c r="B320" s="74" cm="1">
        <f t="array" aca="1" ref="B320" ca="1">IF(INDIRECT("'Student_Record 1'!C" &amp; ROW())="", "", INDIRECT("'Student_Record 1'!C" &amp; ROW()))</f>
        <v>616</v>
      </c>
      <c r="C320" s="74" t="str" cm="1">
        <f t="array" aca="1" ref="C320" ca="1">IF(INDIRECT("'Student_Record 1'!E" &amp; ROW())="", "", INDIRECT("'Student_Record 1'!E" &amp; ROW()))</f>
        <v>YASPAL</v>
      </c>
      <c r="D320" s="74" t="str" cm="1">
        <f t="array" aca="1" ref="D320" ca="1">IF(INDIRECT("'Student_Record 1'!G" &amp; ROW())="", "", INDIRECT("'Student_Record 1'!G" &amp; ROW()))</f>
        <v>KANARAM</v>
      </c>
      <c r="E320" s="74" t="str" cm="1">
        <f t="array" aca="1" ref="E320" ca="1">IF(INDIRECT("'Student_Record 1'!I" &amp; ROW())="", "", INDIRECT("'Student_Record 1'!I" &amp; ROW()))</f>
        <v>M</v>
      </c>
      <c r="F320" s="74" t="str" cm="1">
        <f t="array" aca="1" ref="F320" ca="1">IF(INDIRECT("'Student_Record 1'!O" &amp; ROW())="", "", INDIRECT("'Student_Record 1'!O" &amp; ROW()))</f>
        <v>OBC</v>
      </c>
      <c r="G320" s="75"/>
      <c r="I320" s="75"/>
      <c r="J320" s="75"/>
      <c r="K320" s="75"/>
      <c r="L320" s="75"/>
      <c r="M320" s="75"/>
      <c r="N320" s="75"/>
      <c r="O320" s="75"/>
      <c r="P320" s="75"/>
      <c r="Q320" s="75"/>
    </row>
    <row r="321" spans="1:17" x14ac:dyDescent="0.25">
      <c r="A321" s="8" cm="1">
        <f t="array" aca="1" ref="A321" ca="1">IF(INDIRECT("'Student_Record 1'!A" &amp; ROW())="", "", INDIRECT("'Student_Record 1'!A" &amp; ROW()))</f>
        <v>11</v>
      </c>
      <c r="B321" s="8" cm="1">
        <f t="array" aca="1" ref="B321" ca="1">IF(INDIRECT("'Student_Record 1'!C" &amp; ROW())="", "", INDIRECT("'Student_Record 1'!C" &amp; ROW()))</f>
        <v>744</v>
      </c>
      <c r="C321" s="8" t="str" cm="1">
        <f t="array" aca="1" ref="C321" ca="1">IF(INDIRECT("'Student_Record 1'!E" &amp; ROW())="", "", INDIRECT("'Student_Record 1'!E" &amp; ROW()))</f>
        <v>AISH PAL</v>
      </c>
      <c r="D321" s="8" t="str" cm="1">
        <f t="array" aca="1" ref="D321" ca="1">IF(INDIRECT("'Student_Record 1'!G" &amp; ROW())="", "", INDIRECT("'Student_Record 1'!G" &amp; ROW()))</f>
        <v>BADRI LAL</v>
      </c>
      <c r="E321" s="8" t="str" cm="1">
        <f t="array" aca="1" ref="E321" ca="1">IF(INDIRECT("'Student_Record 1'!I" &amp; ROW())="", "", INDIRECT("'Student_Record 1'!I" &amp; ROW()))</f>
        <v>M</v>
      </c>
      <c r="F321" s="8" t="str" cm="1">
        <f t="array" aca="1" ref="F321" ca="1">IF(INDIRECT("'Student_Record 1'!O" &amp; ROW())="", "", INDIRECT("'Student_Record 1'!O" &amp; ROW()))</f>
        <v>ST</v>
      </c>
      <c r="G321" s="11"/>
      <c r="I321" s="11"/>
      <c r="J321" s="11"/>
      <c r="K321" s="11"/>
      <c r="L321" s="11"/>
      <c r="M321" s="11"/>
      <c r="N321" s="11"/>
      <c r="O321" s="11"/>
      <c r="P321" s="11"/>
      <c r="Q321" s="11"/>
    </row>
    <row r="322" spans="1:17" x14ac:dyDescent="0.25">
      <c r="A322" s="8" cm="1">
        <f t="array" aca="1" ref="A322" ca="1">IF(INDIRECT("'Student_Record 1'!A" &amp; ROW())="", "", INDIRECT("'Student_Record 1'!A" &amp; ROW()))</f>
        <v>11</v>
      </c>
      <c r="B322" s="8" cm="1">
        <f t="array" aca="1" ref="B322" ca="1">IF(INDIRECT("'Student_Record 1'!C" &amp; ROW())="", "", INDIRECT("'Student_Record 1'!C" &amp; ROW()))</f>
        <v>866</v>
      </c>
      <c r="C322" s="8" t="str" cm="1">
        <f t="array" aca="1" ref="C322" ca="1">IF(INDIRECT("'Student_Record 1'!E" &amp; ROW())="", "", INDIRECT("'Student_Record 1'!E" &amp; ROW()))</f>
        <v>Aman Ali</v>
      </c>
      <c r="D322" s="8" t="str" cm="1">
        <f t="array" aca="1" ref="D322" ca="1">IF(INDIRECT("'Student_Record 1'!G" &amp; ROW())="", "", INDIRECT("'Student_Record 1'!G" &amp; ROW()))</f>
        <v>Shahjad Ali</v>
      </c>
      <c r="E322" s="8" t="str" cm="1">
        <f t="array" aca="1" ref="E322" ca="1">IF(INDIRECT("'Student_Record 1'!I" &amp; ROW())="", "", INDIRECT("'Student_Record 1'!I" &amp; ROW()))</f>
        <v>M</v>
      </c>
      <c r="F322" s="8" t="str" cm="1">
        <f t="array" aca="1" ref="F322" ca="1">IF(INDIRECT("'Student_Record 1'!O" &amp; ROW())="", "", INDIRECT("'Student_Record 1'!O" &amp; ROW()))</f>
        <v>OBC</v>
      </c>
      <c r="G322" s="11"/>
      <c r="I322" s="11"/>
      <c r="J322" s="11"/>
      <c r="K322" s="11"/>
      <c r="L322" s="11"/>
      <c r="M322" s="11"/>
      <c r="N322" s="11"/>
      <c r="O322" s="11"/>
      <c r="P322" s="11"/>
      <c r="Q322" s="11"/>
    </row>
    <row r="323" spans="1:17" x14ac:dyDescent="0.25">
      <c r="A323" s="8" cm="1">
        <f t="array" aca="1" ref="A323" ca="1">IF(INDIRECT("'Student_Record 1'!A" &amp; ROW())="", "", INDIRECT("'Student_Record 1'!A" &amp; ROW()))</f>
        <v>11</v>
      </c>
      <c r="B323" s="8" cm="1">
        <f t="array" aca="1" ref="B323" ca="1">IF(INDIRECT("'Student_Record 1'!C" &amp; ROW())="", "", INDIRECT("'Student_Record 1'!C" &amp; ROW()))</f>
        <v>414</v>
      </c>
      <c r="C323" s="8" t="str" cm="1">
        <f t="array" aca="1" ref="C323" ca="1">IF(INDIRECT("'Student_Record 1'!E" &amp; ROW())="", "", INDIRECT("'Student_Record 1'!E" &amp; ROW()))</f>
        <v>ANIL MEGHWANSHI</v>
      </c>
      <c r="D323" s="8" t="str" cm="1">
        <f t="array" aca="1" ref="D323" ca="1">IF(INDIRECT("'Student_Record 1'!G" &amp; ROW())="", "", INDIRECT("'Student_Record 1'!G" &amp; ROW()))</f>
        <v>PANCHU RAM MEGHWANSHI</v>
      </c>
      <c r="E323" s="8" t="str" cm="1">
        <f t="array" aca="1" ref="E323" ca="1">IF(INDIRECT("'Student_Record 1'!I" &amp; ROW())="", "", INDIRECT("'Student_Record 1'!I" &amp; ROW()))</f>
        <v>M</v>
      </c>
      <c r="F323" s="8" t="str" cm="1">
        <f t="array" aca="1" ref="F323" ca="1">IF(INDIRECT("'Student_Record 1'!O" &amp; ROW())="", "", INDIRECT("'Student_Record 1'!O" &amp; ROW()))</f>
        <v>SC</v>
      </c>
      <c r="G323" s="11"/>
      <c r="I323" s="11"/>
      <c r="J323" s="11"/>
      <c r="K323" s="11"/>
      <c r="L323" s="11"/>
      <c r="M323" s="11"/>
      <c r="N323" s="11"/>
      <c r="O323" s="11"/>
      <c r="P323" s="11"/>
      <c r="Q323" s="11"/>
    </row>
    <row r="324" spans="1:17" x14ac:dyDescent="0.25">
      <c r="A324" s="8" cm="1">
        <f t="array" aca="1" ref="A324" ca="1">IF(INDIRECT("'Student_Record 1'!A" &amp; ROW())="", "", INDIRECT("'Student_Record 1'!A" &amp; ROW()))</f>
        <v>11</v>
      </c>
      <c r="B324" s="8" cm="1">
        <f t="array" aca="1" ref="B324" ca="1">IF(INDIRECT("'Student_Record 1'!C" &amp; ROW())="", "", INDIRECT("'Student_Record 1'!C" &amp; ROW()))</f>
        <v>241</v>
      </c>
      <c r="C324" s="8" t="str" cm="1">
        <f t="array" aca="1" ref="C324" ca="1">IF(INDIRECT("'Student_Record 1'!E" &amp; ROW())="", "", INDIRECT("'Student_Record 1'!E" &amp; ROW()))</f>
        <v>ASHOK PRAJAPAT</v>
      </c>
      <c r="D324" s="8" t="str" cm="1">
        <f t="array" aca="1" ref="D324" ca="1">IF(INDIRECT("'Student_Record 1'!G" &amp; ROW())="", "", INDIRECT("'Student_Record 1'!G" &amp; ROW()))</f>
        <v>HARLAL PRAJAPAT</v>
      </c>
      <c r="E324" s="8" t="str" cm="1">
        <f t="array" aca="1" ref="E324" ca="1">IF(INDIRECT("'Student_Record 1'!I" &amp; ROW())="", "", INDIRECT("'Student_Record 1'!I" &amp; ROW()))</f>
        <v>M</v>
      </c>
      <c r="F324" s="8" t="str" cm="1">
        <f t="array" aca="1" ref="F324" ca="1">IF(INDIRECT("'Student_Record 1'!O" &amp; ROW())="", "", INDIRECT("'Student_Record 1'!O" &amp; ROW()))</f>
        <v>OBC</v>
      </c>
      <c r="G324" s="11"/>
      <c r="I324" s="11"/>
      <c r="J324" s="11"/>
      <c r="K324" s="11"/>
      <c r="L324" s="11"/>
      <c r="M324" s="11"/>
      <c r="N324" s="11"/>
      <c r="O324" s="11"/>
      <c r="P324" s="11"/>
      <c r="Q324" s="11"/>
    </row>
    <row r="325" spans="1:17" x14ac:dyDescent="0.25">
      <c r="A325" s="8" cm="1">
        <f t="array" aca="1" ref="A325" ca="1">IF(INDIRECT("'Student_Record 1'!A" &amp; ROW())="", "", INDIRECT("'Student_Record 1'!A" &amp; ROW()))</f>
        <v>11</v>
      </c>
      <c r="B325" s="8" cm="1">
        <f t="array" aca="1" ref="B325" ca="1">IF(INDIRECT("'Student_Record 1'!C" &amp; ROW())="", "", INDIRECT("'Student_Record 1'!C" &amp; ROW()))</f>
        <v>588</v>
      </c>
      <c r="C325" s="8" t="str" cm="1">
        <f t="array" aca="1" ref="C325" ca="1">IF(INDIRECT("'Student_Record 1'!E" &amp; ROW())="", "", INDIRECT("'Student_Record 1'!E" &amp; ROW()))</f>
        <v>BASRAM CHOUDHARY</v>
      </c>
      <c r="D325" s="8" t="str" cm="1">
        <f t="array" aca="1" ref="D325" ca="1">IF(INDIRECT("'Student_Record 1'!G" &amp; ROW())="", "", INDIRECT("'Student_Record 1'!G" &amp; ROW()))</f>
        <v>GOPAL CHOUDHARY</v>
      </c>
      <c r="E325" s="8" t="str" cm="1">
        <f t="array" aca="1" ref="E325" ca="1">IF(INDIRECT("'Student_Record 1'!I" &amp; ROW())="", "", INDIRECT("'Student_Record 1'!I" &amp; ROW()))</f>
        <v>M</v>
      </c>
      <c r="F325" s="8" t="str" cm="1">
        <f t="array" aca="1" ref="F325" ca="1">IF(INDIRECT("'Student_Record 1'!O" &amp; ROW())="", "", INDIRECT("'Student_Record 1'!O" &amp; ROW()))</f>
        <v>OBC</v>
      </c>
      <c r="G325" s="11"/>
      <c r="I325" s="11"/>
      <c r="J325" s="11"/>
      <c r="K325" s="11"/>
      <c r="L325" s="11"/>
      <c r="M325" s="11"/>
      <c r="N325" s="11"/>
      <c r="O325" s="11"/>
      <c r="P325" s="11"/>
      <c r="Q325" s="11"/>
    </row>
    <row r="326" spans="1:17" x14ac:dyDescent="0.25">
      <c r="A326" s="8" cm="1">
        <f t="array" aca="1" ref="A326" ca="1">IF(INDIRECT("'Student_Record 1'!A" &amp; ROW())="", "", INDIRECT("'Student_Record 1'!A" &amp; ROW()))</f>
        <v>11</v>
      </c>
      <c r="B326" s="8" cm="1">
        <f t="array" aca="1" ref="B326" ca="1">IF(INDIRECT("'Student_Record 1'!C" &amp; ROW())="", "", INDIRECT("'Student_Record 1'!C" &amp; ROW()))</f>
        <v>255</v>
      </c>
      <c r="C326" s="8" t="str" cm="1">
        <f t="array" aca="1" ref="C326" ca="1">IF(INDIRECT("'Student_Record 1'!E" &amp; ROW())="", "", INDIRECT("'Student_Record 1'!E" &amp; ROW()))</f>
        <v>CHHITAR JAT</v>
      </c>
      <c r="D326" s="8" t="str" cm="1">
        <f t="array" aca="1" ref="D326" ca="1">IF(INDIRECT("'Student_Record 1'!G" &amp; ROW())="", "", INDIRECT("'Student_Record 1'!G" &amp; ROW()))</f>
        <v>MISARI LAL JAT</v>
      </c>
      <c r="E326" s="8" t="str" cm="1">
        <f t="array" aca="1" ref="E326" ca="1">IF(INDIRECT("'Student_Record 1'!I" &amp; ROW())="", "", INDIRECT("'Student_Record 1'!I" &amp; ROW()))</f>
        <v>M</v>
      </c>
      <c r="F326" s="8" t="str" cm="1">
        <f t="array" aca="1" ref="F326" ca="1">IF(INDIRECT("'Student_Record 1'!O" &amp; ROW())="", "", INDIRECT("'Student_Record 1'!O" &amp; ROW()))</f>
        <v>OBC</v>
      </c>
      <c r="G326" s="11"/>
      <c r="I326" s="11"/>
      <c r="J326" s="11"/>
      <c r="K326" s="11"/>
      <c r="L326" s="11"/>
      <c r="M326" s="11"/>
      <c r="N326" s="11"/>
      <c r="O326" s="11"/>
      <c r="P326" s="11"/>
      <c r="Q326" s="11"/>
    </row>
    <row r="327" spans="1:17" x14ac:dyDescent="0.25">
      <c r="A327" s="8" cm="1">
        <f t="array" aca="1" ref="A327" ca="1">IF(INDIRECT("'Student_Record 1'!A" &amp; ROW())="", "", INDIRECT("'Student_Record 1'!A" &amp; ROW()))</f>
        <v>11</v>
      </c>
      <c r="B327" s="8" cm="1">
        <f t="array" aca="1" ref="B327" ca="1">IF(INDIRECT("'Student_Record 1'!C" &amp; ROW())="", "", INDIRECT("'Student_Record 1'!C" &amp; ROW()))</f>
        <v>772</v>
      </c>
      <c r="C327" s="8" t="str" cm="1">
        <f t="array" aca="1" ref="C327" ca="1">IF(INDIRECT("'Student_Record 1'!E" &amp; ROW())="", "", INDIRECT("'Student_Record 1'!E" &amp; ROW()))</f>
        <v>Dashrath Choudhary</v>
      </c>
      <c r="D327" s="8" t="str" cm="1">
        <f t="array" aca="1" ref="D327" ca="1">IF(INDIRECT("'Student_Record 1'!G" &amp; ROW())="", "", INDIRECT("'Student_Record 1'!G" &amp; ROW()))</f>
        <v>Harikishan Choudhary</v>
      </c>
      <c r="E327" s="8" t="str" cm="1">
        <f t="array" aca="1" ref="E327" ca="1">IF(INDIRECT("'Student_Record 1'!I" &amp; ROW())="", "", INDIRECT("'Student_Record 1'!I" &amp; ROW()))</f>
        <v>M</v>
      </c>
      <c r="F327" s="8" t="str" cm="1">
        <f t="array" aca="1" ref="F327" ca="1">IF(INDIRECT("'Student_Record 1'!O" &amp; ROW())="", "", INDIRECT("'Student_Record 1'!O" &amp; ROW()))</f>
        <v>OBC</v>
      </c>
      <c r="G327" s="11"/>
      <c r="I327" s="11"/>
      <c r="J327" s="11"/>
      <c r="K327" s="11"/>
      <c r="L327" s="11"/>
      <c r="M327" s="11"/>
      <c r="N327" s="11"/>
      <c r="O327" s="11"/>
      <c r="P327" s="11"/>
      <c r="Q327" s="11"/>
    </row>
    <row r="328" spans="1:17" x14ac:dyDescent="0.25">
      <c r="A328" s="8" cm="1">
        <f t="array" aca="1" ref="A328" ca="1">IF(INDIRECT("'Student_Record 1'!A" &amp; ROW())="", "", INDIRECT("'Student_Record 1'!A" &amp; ROW()))</f>
        <v>11</v>
      </c>
      <c r="B328" s="8" cm="1">
        <f t="array" aca="1" ref="B328" ca="1">IF(INDIRECT("'Student_Record 1'!C" &amp; ROW())="", "", INDIRECT("'Student_Record 1'!C" &amp; ROW()))</f>
        <v>915</v>
      </c>
      <c r="C328" s="8" t="str" cm="1">
        <f t="array" aca="1" ref="C328" ca="1">IF(INDIRECT("'Student_Record 1'!E" &amp; ROW())="", "", INDIRECT("'Student_Record 1'!E" &amp; ROW()))</f>
        <v>Dinesh Jat</v>
      </c>
      <c r="D328" s="8" t="str" cm="1">
        <f t="array" aca="1" ref="D328" ca="1">IF(INDIRECT("'Student_Record 1'!G" &amp; ROW())="", "", INDIRECT("'Student_Record 1'!G" &amp; ROW()))</f>
        <v>Shri Ram Jat</v>
      </c>
      <c r="E328" s="8" t="str" cm="1">
        <f t="array" aca="1" ref="E328" ca="1">IF(INDIRECT("'Student_Record 1'!I" &amp; ROW())="", "", INDIRECT("'Student_Record 1'!I" &amp; ROW()))</f>
        <v>M</v>
      </c>
      <c r="F328" s="8" t="str" cm="1">
        <f t="array" aca="1" ref="F328" ca="1">IF(INDIRECT("'Student_Record 1'!O" &amp; ROW())="", "", INDIRECT("'Student_Record 1'!O" &amp; ROW()))</f>
        <v>OBC</v>
      </c>
      <c r="G328" s="11"/>
      <c r="I328" s="11"/>
      <c r="J328" s="11"/>
      <c r="K328" s="11"/>
      <c r="L328" s="11"/>
      <c r="M328" s="11"/>
      <c r="N328" s="11"/>
      <c r="O328" s="11"/>
      <c r="P328" s="11"/>
      <c r="Q328" s="11"/>
    </row>
    <row r="329" spans="1:17" x14ac:dyDescent="0.25">
      <c r="A329" s="8" cm="1">
        <f t="array" aca="1" ref="A329" ca="1">IF(INDIRECT("'Student_Record 1'!A" &amp; ROW())="", "", INDIRECT("'Student_Record 1'!A" &amp; ROW()))</f>
        <v>11</v>
      </c>
      <c r="B329" s="8" cm="1">
        <f t="array" aca="1" ref="B329" ca="1">IF(INDIRECT("'Student_Record 1'!C" &amp; ROW())="", "", INDIRECT("'Student_Record 1'!C" &amp; ROW()))</f>
        <v>511</v>
      </c>
      <c r="C329" s="8" t="str" cm="1">
        <f t="array" aca="1" ref="C329" ca="1">IF(INDIRECT("'Student_Record 1'!E" &amp; ROW())="", "", INDIRECT("'Student_Record 1'!E" &amp; ROW()))</f>
        <v>GANESH MEGHWANSHI</v>
      </c>
      <c r="D329" s="8" t="str" cm="1">
        <f t="array" aca="1" ref="D329" ca="1">IF(INDIRECT("'Student_Record 1'!G" &amp; ROW())="", "", INDIRECT("'Student_Record 1'!G" &amp; ROW()))</f>
        <v>PARAS MEGHWANSHI</v>
      </c>
      <c r="E329" s="8" t="str" cm="1">
        <f t="array" aca="1" ref="E329" ca="1">IF(INDIRECT("'Student_Record 1'!I" &amp; ROW())="", "", INDIRECT("'Student_Record 1'!I" &amp; ROW()))</f>
        <v>M</v>
      </c>
      <c r="F329" s="8" t="str" cm="1">
        <f t="array" aca="1" ref="F329" ca="1">IF(INDIRECT("'Student_Record 1'!O" &amp; ROW())="", "", INDIRECT("'Student_Record 1'!O" &amp; ROW()))</f>
        <v>SC</v>
      </c>
      <c r="G329" s="11"/>
      <c r="I329" s="11"/>
      <c r="J329" s="11"/>
      <c r="K329" s="11"/>
      <c r="L329" s="11"/>
      <c r="M329" s="11"/>
      <c r="N329" s="11"/>
      <c r="O329" s="11"/>
      <c r="P329" s="11"/>
      <c r="Q329" s="11"/>
    </row>
    <row r="330" spans="1:17" x14ac:dyDescent="0.25">
      <c r="A330" s="8" cm="1">
        <f t="array" aca="1" ref="A330" ca="1">IF(INDIRECT("'Student_Record 1'!A" &amp; ROW())="", "", INDIRECT("'Student_Record 1'!A" &amp; ROW()))</f>
        <v>11</v>
      </c>
      <c r="B330" s="8" cm="1">
        <f t="array" aca="1" ref="B330" ca="1">IF(INDIRECT("'Student_Record 1'!C" &amp; ROW())="", "", INDIRECT("'Student_Record 1'!C" &amp; ROW()))</f>
        <v>281</v>
      </c>
      <c r="C330" s="8" t="str" cm="1">
        <f t="array" aca="1" ref="C330" ca="1">IF(INDIRECT("'Student_Record 1'!E" &amp; ROW())="", "", INDIRECT("'Student_Record 1'!E" &amp; ROW()))</f>
        <v>GOURA PRAJAPAT</v>
      </c>
      <c r="D330" s="8" t="str" cm="1">
        <f t="array" aca="1" ref="D330" ca="1">IF(INDIRECT("'Student_Record 1'!G" &amp; ROW())="", "", INDIRECT("'Student_Record 1'!G" &amp; ROW()))</f>
        <v>KAILASH PRAJAPAT</v>
      </c>
      <c r="E330" s="8" t="str" cm="1">
        <f t="array" aca="1" ref="E330" ca="1">IF(INDIRECT("'Student_Record 1'!I" &amp; ROW())="", "", INDIRECT("'Student_Record 1'!I" &amp; ROW()))</f>
        <v>F</v>
      </c>
      <c r="F330" s="8" t="str" cm="1">
        <f t="array" aca="1" ref="F330" ca="1">IF(INDIRECT("'Student_Record 1'!O" &amp; ROW())="", "", INDIRECT("'Student_Record 1'!O" &amp; ROW()))</f>
        <v>OBC</v>
      </c>
      <c r="G330" s="11"/>
      <c r="I330" s="11"/>
      <c r="J330" s="11"/>
      <c r="K330" s="11"/>
      <c r="L330" s="11"/>
      <c r="M330" s="11"/>
      <c r="N330" s="11"/>
      <c r="O330" s="11"/>
      <c r="P330" s="11"/>
      <c r="Q330" s="11"/>
    </row>
    <row r="331" spans="1:17" x14ac:dyDescent="0.25">
      <c r="A331" s="8" cm="1">
        <f t="array" aca="1" ref="A331" ca="1">IF(INDIRECT("'Student_Record 1'!A" &amp; ROW())="", "", INDIRECT("'Student_Record 1'!A" &amp; ROW()))</f>
        <v>11</v>
      </c>
      <c r="B331" s="8" cm="1">
        <f t="array" aca="1" ref="B331" ca="1">IF(INDIRECT("'Student_Record 1'!C" &amp; ROW())="", "", INDIRECT("'Student_Record 1'!C" &amp; ROW()))</f>
        <v>578</v>
      </c>
      <c r="C331" s="8" t="str" cm="1">
        <f t="array" aca="1" ref="C331" ca="1">IF(INDIRECT("'Student_Record 1'!E" &amp; ROW())="", "", INDIRECT("'Student_Record 1'!E" &amp; ROW()))</f>
        <v>GUDDA</v>
      </c>
      <c r="D331" s="8" t="str" cm="1">
        <f t="array" aca="1" ref="D331" ca="1">IF(INDIRECT("'Student_Record 1'!G" &amp; ROW())="", "", INDIRECT("'Student_Record 1'!G" &amp; ROW()))</f>
        <v>KAILASH NAYAK</v>
      </c>
      <c r="E331" s="8" t="str" cm="1">
        <f t="array" aca="1" ref="E331" ca="1">IF(INDIRECT("'Student_Record 1'!I" &amp; ROW())="", "", INDIRECT("'Student_Record 1'!I" &amp; ROW()))</f>
        <v>F</v>
      </c>
      <c r="F331" s="8" t="str" cm="1">
        <f t="array" aca="1" ref="F331" ca="1">IF(INDIRECT("'Student_Record 1'!O" &amp; ROW())="", "", INDIRECT("'Student_Record 1'!O" &amp; ROW()))</f>
        <v>SC</v>
      </c>
      <c r="G331" s="11"/>
      <c r="I331" s="11"/>
      <c r="J331" s="11"/>
      <c r="K331" s="11"/>
      <c r="L331" s="11"/>
      <c r="M331" s="11"/>
      <c r="N331" s="11"/>
      <c r="O331" s="11"/>
      <c r="P331" s="11"/>
      <c r="Q331" s="11"/>
    </row>
    <row r="332" spans="1:17" x14ac:dyDescent="0.25">
      <c r="A332" s="8" cm="1">
        <f t="array" aca="1" ref="A332" ca="1">IF(INDIRECT("'Student_Record 1'!A" &amp; ROW())="", "", INDIRECT("'Student_Record 1'!A" &amp; ROW()))</f>
        <v>11</v>
      </c>
      <c r="B332" s="8" cm="1">
        <f t="array" aca="1" ref="B332" ca="1">IF(INDIRECT("'Student_Record 1'!C" &amp; ROW())="", "", INDIRECT("'Student_Record 1'!C" &amp; ROW()))</f>
        <v>910</v>
      </c>
      <c r="C332" s="8" t="str" cm="1">
        <f t="array" aca="1" ref="C332" ca="1">IF(INDIRECT("'Student_Record 1'!E" &amp; ROW())="", "", INDIRECT("'Student_Record 1'!E" &amp; ROW()))</f>
        <v>Kana Ram Choudhary</v>
      </c>
      <c r="D332" s="8" t="str" cm="1">
        <f t="array" aca="1" ref="D332" ca="1">IF(INDIRECT("'Student_Record 1'!G" &amp; ROW())="", "", INDIRECT("'Student_Record 1'!G" &amp; ROW()))</f>
        <v>Ramraj Choudhary</v>
      </c>
      <c r="E332" s="8" t="str" cm="1">
        <f t="array" aca="1" ref="E332" ca="1">IF(INDIRECT("'Student_Record 1'!I" &amp; ROW())="", "", INDIRECT("'Student_Record 1'!I" &amp; ROW()))</f>
        <v>M</v>
      </c>
      <c r="F332" s="8" t="str" cm="1">
        <f t="array" aca="1" ref="F332" ca="1">IF(INDIRECT("'Student_Record 1'!O" &amp; ROW())="", "", INDIRECT("'Student_Record 1'!O" &amp; ROW()))</f>
        <v>OBC</v>
      </c>
      <c r="G332" s="11"/>
      <c r="I332" s="11"/>
      <c r="J332" s="11"/>
      <c r="K332" s="11"/>
      <c r="L332" s="11"/>
      <c r="M332" s="11"/>
      <c r="N332" s="11"/>
      <c r="O332" s="11"/>
      <c r="P332" s="11"/>
      <c r="Q332" s="11"/>
    </row>
    <row r="333" spans="1:17" x14ac:dyDescent="0.25">
      <c r="A333" s="8" cm="1">
        <f t="array" aca="1" ref="A333" ca="1">IF(INDIRECT("'Student_Record 1'!A" &amp; ROW())="", "", INDIRECT("'Student_Record 1'!A" &amp; ROW()))</f>
        <v>11</v>
      </c>
      <c r="B333" s="8" cm="1">
        <f t="array" aca="1" ref="B333" ca="1">IF(INDIRECT("'Student_Record 1'!C" &amp; ROW())="", "", INDIRECT("'Student_Record 1'!C" &amp; ROW()))</f>
        <v>262</v>
      </c>
      <c r="C333" s="8" t="str" cm="1">
        <f t="array" aca="1" ref="C333" ca="1">IF(INDIRECT("'Student_Record 1'!E" &amp; ROW())="", "", INDIRECT("'Student_Record 1'!E" &amp; ROW()))</f>
        <v>LUCKY JANGID</v>
      </c>
      <c r="D333" s="8" t="str" cm="1">
        <f t="array" aca="1" ref="D333" ca="1">IF(INDIRECT("'Student_Record 1'!G" &amp; ROW())="", "", INDIRECT("'Student_Record 1'!G" &amp; ROW()))</f>
        <v>NANDKISHOR JANGID</v>
      </c>
      <c r="E333" s="8" t="str" cm="1">
        <f t="array" aca="1" ref="E333" ca="1">IF(INDIRECT("'Student_Record 1'!I" &amp; ROW())="", "", INDIRECT("'Student_Record 1'!I" &amp; ROW()))</f>
        <v>M</v>
      </c>
      <c r="F333" s="8" t="str" cm="1">
        <f t="array" aca="1" ref="F333" ca="1">IF(INDIRECT("'Student_Record 1'!O" &amp; ROW())="", "", INDIRECT("'Student_Record 1'!O" &amp; ROW()))</f>
        <v>OBC</v>
      </c>
      <c r="G333" s="11"/>
      <c r="I333" s="11"/>
      <c r="J333" s="11"/>
      <c r="K333" s="11"/>
      <c r="L333" s="11"/>
      <c r="M333" s="11"/>
      <c r="N333" s="11"/>
      <c r="O333" s="11"/>
      <c r="P333" s="11"/>
      <c r="Q333" s="11"/>
    </row>
    <row r="334" spans="1:17" x14ac:dyDescent="0.25">
      <c r="A334" s="8" cm="1">
        <f t="array" aca="1" ref="A334" ca="1">IF(INDIRECT("'Student_Record 1'!A" &amp; ROW())="", "", INDIRECT("'Student_Record 1'!A" &amp; ROW()))</f>
        <v>11</v>
      </c>
      <c r="B334" s="8" cm="1">
        <f t="array" aca="1" ref="B334" ca="1">IF(INDIRECT("'Student_Record 1'!C" &amp; ROW())="", "", INDIRECT("'Student_Record 1'!C" &amp; ROW()))</f>
        <v>259</v>
      </c>
      <c r="C334" s="8" t="str" cm="1">
        <f t="array" aca="1" ref="C334" ca="1">IF(INDIRECT("'Student_Record 1'!E" &amp; ROW())="", "", INDIRECT("'Student_Record 1'!E" &amp; ROW()))</f>
        <v>MAHENDRA JAT</v>
      </c>
      <c r="D334" s="8" t="str" cm="1">
        <f t="array" aca="1" ref="D334" ca="1">IF(INDIRECT("'Student_Record 1'!G" &amp; ROW())="", "", INDIRECT("'Student_Record 1'!G" &amp; ROW()))</f>
        <v>KALU RAM JAT</v>
      </c>
      <c r="E334" s="8" t="str" cm="1">
        <f t="array" aca="1" ref="E334" ca="1">IF(INDIRECT("'Student_Record 1'!I" &amp; ROW())="", "", INDIRECT("'Student_Record 1'!I" &amp; ROW()))</f>
        <v>M</v>
      </c>
      <c r="F334" s="8" t="str" cm="1">
        <f t="array" aca="1" ref="F334" ca="1">IF(INDIRECT("'Student_Record 1'!O" &amp; ROW())="", "", INDIRECT("'Student_Record 1'!O" &amp; ROW()))</f>
        <v>OBC</v>
      </c>
      <c r="G334" s="11"/>
      <c r="I334" s="11"/>
      <c r="J334" s="11"/>
      <c r="K334" s="11"/>
      <c r="L334" s="11"/>
      <c r="M334" s="11"/>
      <c r="N334" s="11"/>
      <c r="O334" s="11"/>
      <c r="P334" s="11"/>
      <c r="Q334" s="11"/>
    </row>
    <row r="335" spans="1:17" x14ac:dyDescent="0.25">
      <c r="A335" s="8" cm="1">
        <f t="array" aca="1" ref="A335" ca="1">IF(INDIRECT("'Student_Record 1'!A" &amp; ROW())="", "", INDIRECT("'Student_Record 1'!A" &amp; ROW()))</f>
        <v>11</v>
      </c>
      <c r="B335" s="8" cm="1">
        <f t="array" aca="1" ref="B335" ca="1">IF(INDIRECT("'Student_Record 1'!C" &amp; ROW())="", "", INDIRECT("'Student_Record 1'!C" &amp; ROW()))</f>
        <v>569</v>
      </c>
      <c r="C335" s="8" t="str" cm="1">
        <f t="array" aca="1" ref="C335" ca="1">IF(INDIRECT("'Student_Record 1'!E" &amp; ROW())="", "", INDIRECT("'Student_Record 1'!E" &amp; ROW()))</f>
        <v>MAHENDRA PRAJAPAT</v>
      </c>
      <c r="D335" s="8" t="str" cm="1">
        <f t="array" aca="1" ref="D335" ca="1">IF(INDIRECT("'Student_Record 1'!G" &amp; ROW())="", "", INDIRECT("'Student_Record 1'!G" &amp; ROW()))</f>
        <v>SHRAWAN PRAJAPAT</v>
      </c>
      <c r="E335" s="8" t="str" cm="1">
        <f t="array" aca="1" ref="E335" ca="1">IF(INDIRECT("'Student_Record 1'!I" &amp; ROW())="", "", INDIRECT("'Student_Record 1'!I" &amp; ROW()))</f>
        <v>M</v>
      </c>
      <c r="F335" s="8" t="str" cm="1">
        <f t="array" aca="1" ref="F335" ca="1">IF(INDIRECT("'Student_Record 1'!O" &amp; ROW())="", "", INDIRECT("'Student_Record 1'!O" &amp; ROW()))</f>
        <v>OBC</v>
      </c>
      <c r="G335" s="11"/>
      <c r="I335" s="11"/>
      <c r="J335" s="11"/>
      <c r="K335" s="11"/>
      <c r="L335" s="11"/>
      <c r="M335" s="11"/>
      <c r="N335" s="11"/>
      <c r="O335" s="11"/>
      <c r="P335" s="11"/>
      <c r="Q335" s="11"/>
    </row>
    <row r="336" spans="1:17" x14ac:dyDescent="0.25">
      <c r="A336" s="8" cm="1">
        <f t="array" aca="1" ref="A336" ca="1">IF(INDIRECT("'Student_Record 1'!A" &amp; ROW())="", "", INDIRECT("'Student_Record 1'!A" &amp; ROW()))</f>
        <v>11</v>
      </c>
      <c r="B336" s="8" cm="1">
        <f t="array" aca="1" ref="B336" ca="1">IF(INDIRECT("'Student_Record 1'!C" &amp; ROW())="", "", INDIRECT("'Student_Record 1'!C" &amp; ROW()))</f>
        <v>269</v>
      </c>
      <c r="C336" s="8" t="str" cm="1">
        <f t="array" aca="1" ref="C336" ca="1">IF(INDIRECT("'Student_Record 1'!E" &amp; ROW())="", "", INDIRECT("'Student_Record 1'!E" &amp; ROW()))</f>
        <v>MANKHUSH CHOUDHARY</v>
      </c>
      <c r="D336" s="8" t="str" cm="1">
        <f t="array" aca="1" ref="D336" ca="1">IF(INDIRECT("'Student_Record 1'!G" &amp; ROW())="", "", INDIRECT("'Student_Record 1'!G" &amp; ROW()))</f>
        <v>RAMDEV CHOUDHARY</v>
      </c>
      <c r="E336" s="8" t="str" cm="1">
        <f t="array" aca="1" ref="E336" ca="1">IF(INDIRECT("'Student_Record 1'!I" &amp; ROW())="", "", INDIRECT("'Student_Record 1'!I" &amp; ROW()))</f>
        <v>F</v>
      </c>
      <c r="F336" s="8" t="str" cm="1">
        <f t="array" aca="1" ref="F336" ca="1">IF(INDIRECT("'Student_Record 1'!O" &amp; ROW())="", "", INDIRECT("'Student_Record 1'!O" &amp; ROW()))</f>
        <v>OBC</v>
      </c>
      <c r="G336" s="11"/>
      <c r="I336" s="11"/>
      <c r="J336" s="11"/>
      <c r="K336" s="11"/>
      <c r="L336" s="11"/>
      <c r="M336" s="11"/>
      <c r="N336" s="11"/>
      <c r="O336" s="11"/>
      <c r="P336" s="11"/>
      <c r="Q336" s="11"/>
    </row>
    <row r="337" spans="1:17" x14ac:dyDescent="0.25">
      <c r="A337" s="8" cm="1">
        <f t="array" aca="1" ref="A337" ca="1">IF(INDIRECT("'Student_Record 1'!A" &amp; ROW())="", "", INDIRECT("'Student_Record 1'!A" &amp; ROW()))</f>
        <v>11</v>
      </c>
      <c r="B337" s="8" cm="1">
        <f t="array" aca="1" ref="B337" ca="1">IF(INDIRECT("'Student_Record 1'!C" &amp; ROW())="", "", INDIRECT("'Student_Record 1'!C" &amp; ROW()))</f>
        <v>590</v>
      </c>
      <c r="C337" s="8" t="str" cm="1">
        <f t="array" aca="1" ref="C337" ca="1">IF(INDIRECT("'Student_Record 1'!E" &amp; ROW())="", "", INDIRECT("'Student_Record 1'!E" &amp; ROW()))</f>
        <v>NEPAL</v>
      </c>
      <c r="D337" s="8" t="str" cm="1">
        <f t="array" aca="1" ref="D337" ca="1">IF(INDIRECT("'Student_Record 1'!G" &amp; ROW())="", "", INDIRECT("'Student_Record 1'!G" &amp; ROW()))</f>
        <v>BRAHMANAND JAT</v>
      </c>
      <c r="E337" s="8" t="str" cm="1">
        <f t="array" aca="1" ref="E337" ca="1">IF(INDIRECT("'Student_Record 1'!I" &amp; ROW())="", "", INDIRECT("'Student_Record 1'!I" &amp; ROW()))</f>
        <v>F</v>
      </c>
      <c r="F337" s="8" t="str" cm="1">
        <f t="array" aca="1" ref="F337" ca="1">IF(INDIRECT("'Student_Record 1'!O" &amp; ROW())="", "", INDIRECT("'Student_Record 1'!O" &amp; ROW()))</f>
        <v>OBC</v>
      </c>
      <c r="G337" s="11"/>
      <c r="I337" s="11"/>
      <c r="J337" s="11"/>
      <c r="K337" s="11"/>
      <c r="L337" s="11"/>
      <c r="M337" s="11"/>
      <c r="N337" s="11"/>
      <c r="O337" s="11"/>
      <c r="P337" s="11"/>
      <c r="Q337" s="11"/>
    </row>
    <row r="338" spans="1:17" x14ac:dyDescent="0.25">
      <c r="A338" s="8" cm="1">
        <f t="array" aca="1" ref="A338" ca="1">IF(INDIRECT("'Student_Record 1'!A" &amp; ROW())="", "", INDIRECT("'Student_Record 1'!A" &amp; ROW()))</f>
        <v>11</v>
      </c>
      <c r="B338" s="8" cm="1">
        <f t="array" aca="1" ref="B338" ca="1">IF(INDIRECT("'Student_Record 1'!C" &amp; ROW())="", "", INDIRECT("'Student_Record 1'!C" &amp; ROW()))</f>
        <v>509</v>
      </c>
      <c r="C338" s="8" t="str" cm="1">
        <f t="array" aca="1" ref="C338" ca="1">IF(INDIRECT("'Student_Record 1'!E" &amp; ROW())="", "", INDIRECT("'Student_Record 1'!E" &amp; ROW()))</f>
        <v>NIRMA DEVI MEGHWANSHI</v>
      </c>
      <c r="D338" s="8" t="str" cm="1">
        <f t="array" aca="1" ref="D338" ca="1">IF(INDIRECT("'Student_Record 1'!G" &amp; ROW())="", "", INDIRECT("'Student_Record 1'!G" &amp; ROW()))</f>
        <v>GANGA RAM MEGHWANSHI</v>
      </c>
      <c r="E338" s="8" t="str" cm="1">
        <f t="array" aca="1" ref="E338" ca="1">IF(INDIRECT("'Student_Record 1'!I" &amp; ROW())="", "", INDIRECT("'Student_Record 1'!I" &amp; ROW()))</f>
        <v>F</v>
      </c>
      <c r="F338" s="8" t="str" cm="1">
        <f t="array" aca="1" ref="F338" ca="1">IF(INDIRECT("'Student_Record 1'!O" &amp; ROW())="", "", INDIRECT("'Student_Record 1'!O" &amp; ROW()))</f>
        <v>SC</v>
      </c>
      <c r="G338" s="11"/>
      <c r="I338" s="11"/>
      <c r="J338" s="11"/>
      <c r="K338" s="11"/>
      <c r="L338" s="11"/>
      <c r="M338" s="11"/>
      <c r="N338" s="11"/>
      <c r="O338" s="11"/>
      <c r="P338" s="11"/>
      <c r="Q338" s="11"/>
    </row>
    <row r="339" spans="1:17" x14ac:dyDescent="0.25">
      <c r="A339" s="8" cm="1">
        <f t="array" aca="1" ref="A339" ca="1">IF(INDIRECT("'Student_Record 1'!A" &amp; ROW())="", "", INDIRECT("'Student_Record 1'!A" &amp; ROW()))</f>
        <v>11</v>
      </c>
      <c r="B339" s="8" cm="1">
        <f t="array" aca="1" ref="B339" ca="1">IF(INDIRECT("'Student_Record 1'!C" &amp; ROW())="", "", INDIRECT("'Student_Record 1'!C" &amp; ROW()))</f>
        <v>239</v>
      </c>
      <c r="C339" s="8" t="str" cm="1">
        <f t="array" aca="1" ref="C339" ca="1">IF(INDIRECT("'Student_Record 1'!E" &amp; ROW())="", "", INDIRECT("'Student_Record 1'!E" &amp; ROW()))</f>
        <v>NIRMA PRAJAPAT</v>
      </c>
      <c r="D339" s="8" t="str" cm="1">
        <f t="array" aca="1" ref="D339" ca="1">IF(INDIRECT("'Student_Record 1'!G" &amp; ROW())="", "", INDIRECT("'Student_Record 1'!G" &amp; ROW()))</f>
        <v>MAHAVEER PRAJAPAT</v>
      </c>
      <c r="E339" s="8" t="str" cm="1">
        <f t="array" aca="1" ref="E339" ca="1">IF(INDIRECT("'Student_Record 1'!I" &amp; ROW())="", "", INDIRECT("'Student_Record 1'!I" &amp; ROW()))</f>
        <v>F</v>
      </c>
      <c r="F339" s="8" t="str" cm="1">
        <f t="array" aca="1" ref="F339" ca="1">IF(INDIRECT("'Student_Record 1'!O" &amp; ROW())="", "", INDIRECT("'Student_Record 1'!O" &amp; ROW()))</f>
        <v>OBC</v>
      </c>
      <c r="G339" s="11"/>
      <c r="I339" s="11"/>
      <c r="J339" s="11"/>
      <c r="K339" s="11"/>
      <c r="L339" s="11"/>
      <c r="M339" s="11"/>
      <c r="N339" s="11"/>
      <c r="O339" s="11"/>
      <c r="P339" s="11"/>
      <c r="Q339" s="11"/>
    </row>
    <row r="340" spans="1:17" x14ac:dyDescent="0.25">
      <c r="A340" s="8" cm="1">
        <f t="array" aca="1" ref="A340" ca="1">IF(INDIRECT("'Student_Record 1'!A" &amp; ROW())="", "", INDIRECT("'Student_Record 1'!A" &amp; ROW()))</f>
        <v>11</v>
      </c>
      <c r="B340" s="8" cm="1">
        <f t="array" aca="1" ref="B340" ca="1">IF(INDIRECT("'Student_Record 1'!C" &amp; ROW())="", "", INDIRECT("'Student_Record 1'!C" &amp; ROW()))</f>
        <v>512</v>
      </c>
      <c r="C340" s="8" t="str" cm="1">
        <f t="array" aca="1" ref="C340" ca="1">IF(INDIRECT("'Student_Record 1'!E" &amp; ROW())="", "", INDIRECT("'Student_Record 1'!E" &amp; ROW()))</f>
        <v>PRIYANKA CHOUDHARY</v>
      </c>
      <c r="D340" s="8" t="str" cm="1">
        <f t="array" aca="1" ref="D340" ca="1">IF(INDIRECT("'Student_Record 1'!G" &amp; ROW())="", "", INDIRECT("'Student_Record 1'!G" &amp; ROW()))</f>
        <v>SHYOJI CHOUDHARY</v>
      </c>
      <c r="E340" s="8" t="str" cm="1">
        <f t="array" aca="1" ref="E340" ca="1">IF(INDIRECT("'Student_Record 1'!I" &amp; ROW())="", "", INDIRECT("'Student_Record 1'!I" &amp; ROW()))</f>
        <v>F</v>
      </c>
      <c r="F340" s="8" t="str" cm="1">
        <f t="array" aca="1" ref="F340" ca="1">IF(INDIRECT("'Student_Record 1'!O" &amp; ROW())="", "", INDIRECT("'Student_Record 1'!O" &amp; ROW()))</f>
        <v>OBC</v>
      </c>
      <c r="G340" s="11"/>
      <c r="I340" s="11"/>
      <c r="J340" s="11"/>
      <c r="K340" s="11"/>
      <c r="L340" s="11"/>
      <c r="M340" s="11"/>
      <c r="N340" s="11"/>
      <c r="O340" s="11"/>
      <c r="P340" s="11"/>
      <c r="Q340" s="11"/>
    </row>
    <row r="341" spans="1:17" x14ac:dyDescent="0.25">
      <c r="A341" s="8" cm="1">
        <f t="array" aca="1" ref="A341" ca="1">IF(INDIRECT("'Student_Record 1'!A" &amp; ROW())="", "", INDIRECT("'Student_Record 1'!A" &amp; ROW()))</f>
        <v>11</v>
      </c>
      <c r="B341" s="8" cm="1">
        <f t="array" aca="1" ref="B341" ca="1">IF(INDIRECT("'Student_Record 1'!C" &amp; ROW())="", "", INDIRECT("'Student_Record 1'!C" &amp; ROW()))</f>
        <v>849</v>
      </c>
      <c r="C341" s="8" t="str" cm="1">
        <f t="array" aca="1" ref="C341" ca="1">IF(INDIRECT("'Student_Record 1'!E" &amp; ROW())="", "", INDIRECT("'Student_Record 1'!E" &amp; ROW()))</f>
        <v>RANJEET JAT</v>
      </c>
      <c r="D341" s="8" t="str" cm="1">
        <f t="array" aca="1" ref="D341" ca="1">IF(INDIRECT("'Student_Record 1'!G" &amp; ROW())="", "", INDIRECT("'Student_Record 1'!G" &amp; ROW()))</f>
        <v>RAM LAL JAT</v>
      </c>
      <c r="E341" s="8" t="str" cm="1">
        <f t="array" aca="1" ref="E341" ca="1">IF(INDIRECT("'Student_Record 1'!I" &amp; ROW())="", "", INDIRECT("'Student_Record 1'!I" &amp; ROW()))</f>
        <v>M</v>
      </c>
      <c r="F341" s="8" t="str" cm="1">
        <f t="array" aca="1" ref="F341" ca="1">IF(INDIRECT("'Student_Record 1'!O" &amp; ROW())="", "", INDIRECT("'Student_Record 1'!O" &amp; ROW()))</f>
        <v>OBC</v>
      </c>
      <c r="G341" s="11"/>
      <c r="I341" s="11"/>
      <c r="J341" s="11"/>
      <c r="K341" s="11"/>
      <c r="L341" s="11"/>
      <c r="M341" s="11"/>
      <c r="N341" s="11"/>
      <c r="O341" s="11"/>
      <c r="P341" s="11"/>
      <c r="Q341" s="11"/>
    </row>
    <row r="342" spans="1:17" x14ac:dyDescent="0.25">
      <c r="A342" s="8" cm="1">
        <f t="array" aca="1" ref="A342" ca="1">IF(INDIRECT("'Student_Record 1'!A" &amp; ROW())="", "", INDIRECT("'Student_Record 1'!A" &amp; ROW()))</f>
        <v>11</v>
      </c>
      <c r="B342" s="8" cm="1">
        <f t="array" aca="1" ref="B342" ca="1">IF(INDIRECT("'Student_Record 1'!C" &amp; ROW())="", "", INDIRECT("'Student_Record 1'!C" &amp; ROW()))</f>
        <v>246</v>
      </c>
      <c r="C342" s="8" t="str" cm="1">
        <f t="array" aca="1" ref="C342" ca="1">IF(INDIRECT("'Student_Record 1'!E" &amp; ROW())="", "", INDIRECT("'Student_Record 1'!E" &amp; ROW()))</f>
        <v>SANJAY CHOUDHARY</v>
      </c>
      <c r="D342" s="8" t="str" cm="1">
        <f t="array" aca="1" ref="D342" ca="1">IF(INDIRECT("'Student_Record 1'!G" &amp; ROW())="", "", INDIRECT("'Student_Record 1'!G" &amp; ROW()))</f>
        <v>RAMRAJ CHOUDHARY</v>
      </c>
      <c r="E342" s="8" t="str" cm="1">
        <f t="array" aca="1" ref="E342" ca="1">IF(INDIRECT("'Student_Record 1'!I" &amp; ROW())="", "", INDIRECT("'Student_Record 1'!I" &amp; ROW()))</f>
        <v>M</v>
      </c>
      <c r="F342" s="8" t="str" cm="1">
        <f t="array" aca="1" ref="F342" ca="1">IF(INDIRECT("'Student_Record 1'!O" &amp; ROW())="", "", INDIRECT("'Student_Record 1'!O" &amp; ROW()))</f>
        <v>OBC</v>
      </c>
      <c r="G342" s="11"/>
      <c r="I342" s="11"/>
      <c r="J342" s="11"/>
      <c r="K342" s="11"/>
      <c r="L342" s="11"/>
      <c r="M342" s="11"/>
      <c r="N342" s="11"/>
      <c r="O342" s="11"/>
      <c r="P342" s="11"/>
      <c r="Q342" s="11"/>
    </row>
    <row r="343" spans="1:17" x14ac:dyDescent="0.25">
      <c r="A343" s="8" cm="1">
        <f t="array" aca="1" ref="A343" ca="1">IF(INDIRECT("'Student_Record 1'!A" &amp; ROW())="", "", INDIRECT("'Student_Record 1'!A" &amp; ROW()))</f>
        <v>11</v>
      </c>
      <c r="B343" s="8" cm="1">
        <f t="array" aca="1" ref="B343" ca="1">IF(INDIRECT("'Student_Record 1'!C" &amp; ROW())="", "", INDIRECT("'Student_Record 1'!C" &amp; ROW()))</f>
        <v>242</v>
      </c>
      <c r="C343" s="8" t="str" cm="1">
        <f t="array" aca="1" ref="C343" ca="1">IF(INDIRECT("'Student_Record 1'!E" &amp; ROW())="", "", INDIRECT("'Student_Record 1'!E" &amp; ROW()))</f>
        <v>SANWAR LAL JAT</v>
      </c>
      <c r="D343" s="8" t="str" cm="1">
        <f t="array" aca="1" ref="D343" ca="1">IF(INDIRECT("'Student_Record 1'!G" &amp; ROW())="", "", INDIRECT("'Student_Record 1'!G" &amp; ROW()))</f>
        <v>BANNA LAL JAT</v>
      </c>
      <c r="E343" s="8" t="str" cm="1">
        <f t="array" aca="1" ref="E343" ca="1">IF(INDIRECT("'Student_Record 1'!I" &amp; ROW())="", "", INDIRECT("'Student_Record 1'!I" &amp; ROW()))</f>
        <v>M</v>
      </c>
      <c r="F343" s="8" t="str" cm="1">
        <f t="array" aca="1" ref="F343" ca="1">IF(INDIRECT("'Student_Record 1'!O" &amp; ROW())="", "", INDIRECT("'Student_Record 1'!O" &amp; ROW()))</f>
        <v>OBC</v>
      </c>
      <c r="G343" s="11"/>
      <c r="I343" s="11"/>
      <c r="J343" s="11"/>
      <c r="K343" s="11"/>
      <c r="L343" s="11"/>
      <c r="M343" s="11"/>
      <c r="N343" s="11"/>
      <c r="O343" s="11"/>
      <c r="P343" s="11"/>
      <c r="Q343" s="11"/>
    </row>
    <row r="344" spans="1:17" ht="30" x14ac:dyDescent="0.25">
      <c r="A344" s="8" cm="1">
        <f t="array" aca="1" ref="A344" ca="1">IF(INDIRECT("'Student_Record 1'!A" &amp; ROW())="", "", INDIRECT("'Student_Record 1'!A" &amp; ROW()))</f>
        <v>11</v>
      </c>
      <c r="B344" s="8" cm="1">
        <f t="array" aca="1" ref="B344" ca="1">IF(INDIRECT("'Student_Record 1'!C" &amp; ROW())="", "", INDIRECT("'Student_Record 1'!C" &amp; ROW()))</f>
        <v>579</v>
      </c>
      <c r="C344" s="8" t="str" cm="1">
        <f t="array" aca="1" ref="C344" ca="1">IF(INDIRECT("'Student_Record 1'!E" &amp; ROW())="", "", INDIRECT("'Student_Record 1'!E" &amp; ROW()))</f>
        <v>SEEMA</v>
      </c>
      <c r="D344" s="8" t="str" cm="1">
        <f t="array" aca="1" ref="D344" ca="1">IF(INDIRECT("'Student_Record 1'!G" &amp; ROW())="", "", INDIRECT("'Student_Record 1'!G" &amp; ROW()))</f>
        <v>SANGRAM SINGH CHOUDHARY</v>
      </c>
      <c r="E344" s="8" t="str" cm="1">
        <f t="array" aca="1" ref="E344" ca="1">IF(INDIRECT("'Student_Record 1'!I" &amp; ROW())="", "", INDIRECT("'Student_Record 1'!I" &amp; ROW()))</f>
        <v>F</v>
      </c>
      <c r="F344" s="8" t="str" cm="1">
        <f t="array" aca="1" ref="F344" ca="1">IF(INDIRECT("'Student_Record 1'!O" &amp; ROW())="", "", INDIRECT("'Student_Record 1'!O" &amp; ROW()))</f>
        <v>OBC</v>
      </c>
      <c r="G344" s="11"/>
      <c r="I344" s="11"/>
      <c r="J344" s="11"/>
      <c r="K344" s="11"/>
      <c r="L344" s="11"/>
      <c r="M344" s="11"/>
      <c r="N344" s="11"/>
      <c r="O344" s="11"/>
      <c r="P344" s="11"/>
      <c r="Q344" s="11"/>
    </row>
    <row r="345" spans="1:17" x14ac:dyDescent="0.25">
      <c r="A345" s="8" cm="1">
        <f t="array" aca="1" ref="A345" ca="1">IF(INDIRECT("'Student_Record 1'!A" &amp; ROW())="", "", INDIRECT("'Student_Record 1'!A" &amp; ROW()))</f>
        <v>11</v>
      </c>
      <c r="B345" s="8" cm="1">
        <f t="array" aca="1" ref="B345" ca="1">IF(INDIRECT("'Student_Record 1'!C" &amp; ROW())="", "", INDIRECT("'Student_Record 1'!C" &amp; ROW()))</f>
        <v>238</v>
      </c>
      <c r="C345" s="8" t="str" cm="1">
        <f t="array" aca="1" ref="C345" ca="1">IF(INDIRECT("'Student_Record 1'!E" &amp; ROW())="", "", INDIRECT("'Student_Record 1'!E" &amp; ROW()))</f>
        <v>SHIMLA PRAJAPAT</v>
      </c>
      <c r="D345" s="8" t="str" cm="1">
        <f t="array" aca="1" ref="D345" ca="1">IF(INDIRECT("'Student_Record 1'!G" &amp; ROW())="", "", INDIRECT("'Student_Record 1'!G" &amp; ROW()))</f>
        <v>GOVIND PRAJAPAT</v>
      </c>
      <c r="E345" s="8" t="str" cm="1">
        <f t="array" aca="1" ref="E345" ca="1">IF(INDIRECT("'Student_Record 1'!I" &amp; ROW())="", "", INDIRECT("'Student_Record 1'!I" &amp; ROW()))</f>
        <v>F</v>
      </c>
      <c r="F345" s="8" t="str" cm="1">
        <f t="array" aca="1" ref="F345" ca="1">IF(INDIRECT("'Student_Record 1'!O" &amp; ROW())="", "", INDIRECT("'Student_Record 1'!O" &amp; ROW()))</f>
        <v>OBC</v>
      </c>
      <c r="G345" s="11"/>
      <c r="I345" s="11"/>
      <c r="J345" s="11"/>
      <c r="K345" s="11"/>
      <c r="L345" s="11"/>
      <c r="M345" s="11"/>
      <c r="N345" s="11"/>
      <c r="O345" s="11"/>
      <c r="P345" s="11"/>
      <c r="Q345" s="11"/>
    </row>
    <row r="346" spans="1:17" x14ac:dyDescent="0.25">
      <c r="A346" s="8" cm="1">
        <f t="array" aca="1" ref="A346" ca="1">IF(INDIRECT("'Student_Record 1'!A" &amp; ROW())="", "", INDIRECT("'Student_Record 1'!A" &amp; ROW()))</f>
        <v>11</v>
      </c>
      <c r="B346" s="8" cm="1">
        <f t="array" aca="1" ref="B346" ca="1">IF(INDIRECT("'Student_Record 1'!C" &amp; ROW())="", "", INDIRECT("'Student_Record 1'!C" &amp; ROW()))</f>
        <v>302</v>
      </c>
      <c r="C346" s="8" t="str" cm="1">
        <f t="array" aca="1" ref="C346" ca="1">IF(INDIRECT("'Student_Record 1'!E" &amp; ROW())="", "", INDIRECT("'Student_Record 1'!E" &amp; ROW()))</f>
        <v>SUGANTA PRAJAPAT</v>
      </c>
      <c r="D346" s="8" t="str" cm="1">
        <f t="array" aca="1" ref="D346" ca="1">IF(INDIRECT("'Student_Record 1'!G" &amp; ROW())="", "", INDIRECT("'Student_Record 1'!G" &amp; ROW()))</f>
        <v>HANSRAJ PRAJAPAT</v>
      </c>
      <c r="E346" s="8" t="str" cm="1">
        <f t="array" aca="1" ref="E346" ca="1">IF(INDIRECT("'Student_Record 1'!I" &amp; ROW())="", "", INDIRECT("'Student_Record 1'!I" &amp; ROW()))</f>
        <v>F</v>
      </c>
      <c r="F346" s="8" t="str" cm="1">
        <f t="array" aca="1" ref="F346" ca="1">IF(INDIRECT("'Student_Record 1'!O" &amp; ROW())="", "", INDIRECT("'Student_Record 1'!O" &amp; ROW()))</f>
        <v>OBC</v>
      </c>
      <c r="G346" s="11"/>
      <c r="I346" s="11"/>
      <c r="J346" s="11"/>
      <c r="K346" s="11"/>
      <c r="L346" s="11"/>
      <c r="M346" s="11"/>
      <c r="N346" s="11"/>
      <c r="O346" s="11"/>
      <c r="P346" s="11"/>
      <c r="Q346" s="11"/>
    </row>
    <row r="347" spans="1:17" x14ac:dyDescent="0.25">
      <c r="A347" s="8" cm="1">
        <f t="array" aca="1" ref="A347" ca="1">IF(INDIRECT("'Student_Record 1'!A" &amp; ROW())="", "", INDIRECT("'Student_Record 1'!A" &amp; ROW()))</f>
        <v>11</v>
      </c>
      <c r="B347" s="8" cm="1">
        <f t="array" aca="1" ref="B347" ca="1">IF(INDIRECT("'Student_Record 1'!C" &amp; ROW())="", "", INDIRECT("'Student_Record 1'!C" &amp; ROW()))</f>
        <v>492</v>
      </c>
      <c r="C347" s="8" t="str" cm="1">
        <f t="array" aca="1" ref="C347" ca="1">IF(INDIRECT("'Student_Record 1'!E" &amp; ROW())="", "", INDIRECT("'Student_Record 1'!E" &amp; ROW()))</f>
        <v>SUMAN DEVI MEGHWANSHI</v>
      </c>
      <c r="D347" s="8" t="str" cm="1">
        <f t="array" aca="1" ref="D347" ca="1">IF(INDIRECT("'Student_Record 1'!G" &amp; ROW())="", "", INDIRECT("'Student_Record 1'!G" &amp; ROW()))</f>
        <v>GANGARAM MEGHWANSHI</v>
      </c>
      <c r="E347" s="8" t="str" cm="1">
        <f t="array" aca="1" ref="E347" ca="1">IF(INDIRECT("'Student_Record 1'!I" &amp; ROW())="", "", INDIRECT("'Student_Record 1'!I" &amp; ROW()))</f>
        <v>F</v>
      </c>
      <c r="F347" s="8" t="str" cm="1">
        <f t="array" aca="1" ref="F347" ca="1">IF(INDIRECT("'Student_Record 1'!O" &amp; ROW())="", "", INDIRECT("'Student_Record 1'!O" &amp; ROW()))</f>
        <v>SC</v>
      </c>
      <c r="G347" s="11"/>
      <c r="I347" s="11"/>
      <c r="J347" s="11"/>
      <c r="K347" s="11"/>
      <c r="L347" s="11"/>
      <c r="M347" s="11"/>
      <c r="N347" s="11"/>
      <c r="O347" s="11"/>
      <c r="P347" s="11"/>
      <c r="Q347" s="11"/>
    </row>
    <row r="348" spans="1:17" x14ac:dyDescent="0.25">
      <c r="A348" s="8" cm="1">
        <f t="array" aca="1" ref="A348" ca="1">IF(INDIRECT("'Student_Record 1'!A" &amp; ROW())="", "", INDIRECT("'Student_Record 1'!A" &amp; ROW()))</f>
        <v>11</v>
      </c>
      <c r="B348" s="8" cm="1">
        <f t="array" aca="1" ref="B348" ca="1">IF(INDIRECT("'Student_Record 1'!C" &amp; ROW())="", "", INDIRECT("'Student_Record 1'!C" &amp; ROW()))</f>
        <v>843</v>
      </c>
      <c r="C348" s="8" t="str" cm="1">
        <f t="array" aca="1" ref="C348" ca="1">IF(INDIRECT("'Student_Record 1'!E" &amp; ROW())="", "", INDIRECT("'Student_Record 1'!E" &amp; ROW()))</f>
        <v>SURESH JAT</v>
      </c>
      <c r="D348" s="8" t="str" cm="1">
        <f t="array" aca="1" ref="D348" ca="1">IF(INDIRECT("'Student_Record 1'!G" &amp; ROW())="", "", INDIRECT("'Student_Record 1'!G" &amp; ROW()))</f>
        <v>PRAHLAD JAT</v>
      </c>
      <c r="E348" s="8" t="str" cm="1">
        <f t="array" aca="1" ref="E348" ca="1">IF(INDIRECT("'Student_Record 1'!I" &amp; ROW())="", "", INDIRECT("'Student_Record 1'!I" &amp; ROW()))</f>
        <v>M</v>
      </c>
      <c r="F348" s="8" t="str" cm="1">
        <f t="array" aca="1" ref="F348" ca="1">IF(INDIRECT("'Student_Record 1'!O" &amp; ROW())="", "", INDIRECT("'Student_Record 1'!O" &amp; ROW()))</f>
        <v>OBC</v>
      </c>
      <c r="G348" s="11"/>
      <c r="I348" s="11"/>
      <c r="J348" s="11"/>
      <c r="K348" s="11"/>
      <c r="L348" s="11"/>
      <c r="M348" s="11"/>
      <c r="N348" s="11"/>
      <c r="O348" s="11"/>
      <c r="P348" s="11"/>
      <c r="Q348" s="11"/>
    </row>
    <row r="349" spans="1:17" x14ac:dyDescent="0.25">
      <c r="A349" s="8" cm="1">
        <f t="array" aca="1" ref="A349" ca="1">IF(INDIRECT("'Student_Record 1'!A" &amp; ROW())="", "", INDIRECT("'Student_Record 1'!A" &amp; ROW()))</f>
        <v>11</v>
      </c>
      <c r="B349" s="8" cm="1">
        <f t="array" aca="1" ref="B349" ca="1">IF(INDIRECT("'Student_Record 1'!C" &amp; ROW())="", "", INDIRECT("'Student_Record 1'!C" &amp; ROW()))</f>
        <v>857</v>
      </c>
      <c r="C349" s="8" t="str" cm="1">
        <f t="array" aca="1" ref="C349" ca="1">IF(INDIRECT("'Student_Record 1'!E" &amp; ROW())="", "", INDIRECT("'Student_Record 1'!E" &amp; ROW()))</f>
        <v>Vishram Choudhary</v>
      </c>
      <c r="D349" s="8" t="str" cm="1">
        <f t="array" aca="1" ref="D349" ca="1">IF(INDIRECT("'Student_Record 1'!G" &amp; ROW())="", "", INDIRECT("'Student_Record 1'!G" &amp; ROW()))</f>
        <v>Shyoji Choudhary</v>
      </c>
      <c r="E349" s="8" t="str" cm="1">
        <f t="array" aca="1" ref="E349" ca="1">IF(INDIRECT("'Student_Record 1'!I" &amp; ROW())="", "", INDIRECT("'Student_Record 1'!I" &amp; ROW()))</f>
        <v>M</v>
      </c>
      <c r="F349" s="8" t="str" cm="1">
        <f t="array" aca="1" ref="F349" ca="1">IF(INDIRECT("'Student_Record 1'!O" &amp; ROW())="", "", INDIRECT("'Student_Record 1'!O" &amp; ROW()))</f>
        <v>OBC</v>
      </c>
      <c r="G349" s="11"/>
      <c r="I349" s="11"/>
      <c r="J349" s="11"/>
      <c r="K349" s="11"/>
      <c r="L349" s="11"/>
      <c r="M349" s="11"/>
      <c r="N349" s="11"/>
      <c r="O349" s="11"/>
      <c r="P349" s="11"/>
      <c r="Q349" s="11"/>
    </row>
    <row r="350" spans="1:17" x14ac:dyDescent="0.25">
      <c r="A350" s="8" cm="1">
        <f t="array" aca="1" ref="A350" ca="1">IF(INDIRECT("'Student_Record 1'!A" &amp; ROW())="", "", INDIRECT("'Student_Record 1'!A" &amp; ROW()))</f>
        <v>12</v>
      </c>
      <c r="B350" s="8" cm="1">
        <f t="array" aca="1" ref="B350" ca="1">IF(INDIRECT("'Student_Record 1'!C" &amp; ROW())="", "", INDIRECT("'Student_Record 1'!C" &amp; ROW()))</f>
        <v>440</v>
      </c>
      <c r="C350" s="8" t="str" cm="1">
        <f t="array" aca="1" ref="C350" ca="1">IF(INDIRECT("'Student_Record 1'!E" &amp; ROW())="", "", INDIRECT("'Student_Record 1'!E" &amp; ROW()))</f>
        <v>DILKHUSH CHOUDHARY</v>
      </c>
      <c r="D350" s="8" t="str" cm="1">
        <f t="array" aca="1" ref="D350" ca="1">IF(INDIRECT("'Student_Record 1'!G" &amp; ROW())="", "", INDIRECT("'Student_Record 1'!G" &amp; ROW()))</f>
        <v>NARAYAN CHOUDHARY</v>
      </c>
      <c r="E350" s="8" t="str" cm="1">
        <f t="array" aca="1" ref="E350" ca="1">IF(INDIRECT("'Student_Record 1'!I" &amp; ROW())="", "", INDIRECT("'Student_Record 1'!I" &amp; ROW()))</f>
        <v>M</v>
      </c>
      <c r="F350" s="8" t="str" cm="1">
        <f t="array" aca="1" ref="F350" ca="1">IF(INDIRECT("'Student_Record 1'!O" &amp; ROW())="", "", INDIRECT("'Student_Record 1'!O" &amp; ROW()))</f>
        <v>OBC</v>
      </c>
      <c r="G350" s="11"/>
      <c r="I350" s="11"/>
      <c r="J350" s="11"/>
      <c r="K350" s="11"/>
      <c r="L350" s="11"/>
      <c r="M350" s="11"/>
      <c r="N350" s="11"/>
      <c r="O350" s="11"/>
      <c r="P350" s="11"/>
      <c r="Q350" s="11"/>
    </row>
    <row r="351" spans="1:17" x14ac:dyDescent="0.25">
      <c r="A351" s="8" cm="1">
        <f t="array" aca="1" ref="A351" ca="1">IF(INDIRECT("'Student_Record 1'!A" &amp; ROW())="", "", INDIRECT("'Student_Record 1'!A" &amp; ROW()))</f>
        <v>12</v>
      </c>
      <c r="B351" s="8" cm="1">
        <f t="array" aca="1" ref="B351" ca="1">IF(INDIRECT("'Student_Record 1'!C" &amp; ROW())="", "", INDIRECT("'Student_Record 1'!C" &amp; ROW()))</f>
        <v>774</v>
      </c>
      <c r="C351" s="8" t="str" cm="1">
        <f t="array" aca="1" ref="C351" ca="1">IF(INDIRECT("'Student_Record 1'!E" &amp; ROW())="", "", INDIRECT("'Student_Record 1'!E" &amp; ROW()))</f>
        <v>Kana Ram Jat</v>
      </c>
      <c r="D351" s="8" t="str" cm="1">
        <f t="array" aca="1" ref="D351" ca="1">IF(INDIRECT("'Student_Record 1'!G" &amp; ROW())="", "", INDIRECT("'Student_Record 1'!G" &amp; ROW()))</f>
        <v>Prabhu Jat</v>
      </c>
      <c r="E351" s="8" t="str" cm="1">
        <f t="array" aca="1" ref="E351" ca="1">IF(INDIRECT("'Student_Record 1'!I" &amp; ROW())="", "", INDIRECT("'Student_Record 1'!I" &amp; ROW()))</f>
        <v>M</v>
      </c>
      <c r="F351" s="8" t="str" cm="1">
        <f t="array" aca="1" ref="F351" ca="1">IF(INDIRECT("'Student_Record 1'!O" &amp; ROW())="", "", INDIRECT("'Student_Record 1'!O" &amp; ROW()))</f>
        <v>OBC</v>
      </c>
      <c r="G351" s="11"/>
      <c r="I351" s="11"/>
      <c r="J351" s="11"/>
      <c r="K351" s="11"/>
      <c r="L351" s="11"/>
      <c r="M351" s="11"/>
      <c r="N351" s="11"/>
      <c r="O351" s="11"/>
      <c r="P351" s="11"/>
      <c r="Q351" s="11"/>
    </row>
    <row r="352" spans="1:17" x14ac:dyDescent="0.25">
      <c r="A352" s="8" cm="1">
        <f t="array" aca="1" ref="A352" ca="1">IF(INDIRECT("'Student_Record 1'!A" &amp; ROW())="", "", INDIRECT("'Student_Record 1'!A" &amp; ROW()))</f>
        <v>12</v>
      </c>
      <c r="B352" s="8" cm="1">
        <f t="array" aca="1" ref="B352" ca="1">IF(INDIRECT("'Student_Record 1'!C" &amp; ROW())="", "", INDIRECT("'Student_Record 1'!C" &amp; ROW()))</f>
        <v>479</v>
      </c>
      <c r="C352" s="8" t="str" cm="1">
        <f t="array" aca="1" ref="C352" ca="1">IF(INDIRECT("'Student_Record 1'!E" &amp; ROW())="", "", INDIRECT("'Student_Record 1'!E" &amp; ROW()))</f>
        <v>KULDEEP MEGHWANSHI</v>
      </c>
      <c r="D352" s="8" t="str" cm="1">
        <f t="array" aca="1" ref="D352" ca="1">IF(INDIRECT("'Student_Record 1'!G" &amp; ROW())="", "", INDIRECT("'Student_Record 1'!G" &amp; ROW()))</f>
        <v>OMPRAKASH MEGHWANSHI</v>
      </c>
      <c r="E352" s="8" t="str" cm="1">
        <f t="array" aca="1" ref="E352" ca="1">IF(INDIRECT("'Student_Record 1'!I" &amp; ROW())="", "", INDIRECT("'Student_Record 1'!I" &amp; ROW()))</f>
        <v>M</v>
      </c>
      <c r="F352" s="8" t="str" cm="1">
        <f t="array" aca="1" ref="F352" ca="1">IF(INDIRECT("'Student_Record 1'!O" &amp; ROW())="", "", INDIRECT("'Student_Record 1'!O" &amp; ROW()))</f>
        <v>SC</v>
      </c>
      <c r="G352" s="11"/>
      <c r="I352" s="11"/>
      <c r="J352" s="11"/>
      <c r="K352" s="11"/>
      <c r="L352" s="11"/>
      <c r="M352" s="11"/>
      <c r="N352" s="11"/>
      <c r="O352" s="11"/>
      <c r="P352" s="11"/>
      <c r="Q352" s="11"/>
    </row>
    <row r="353" spans="1:17" x14ac:dyDescent="0.25">
      <c r="A353" s="8" cm="1">
        <f t="array" aca="1" ref="A353" ca="1">IF(INDIRECT("'Student_Record 1'!A" &amp; ROW())="", "", INDIRECT("'Student_Record 1'!A" &amp; ROW()))</f>
        <v>12</v>
      </c>
      <c r="B353" s="8" cm="1">
        <f t="array" aca="1" ref="B353" ca="1">IF(INDIRECT("'Student_Record 1'!C" &amp; ROW())="", "", INDIRECT("'Student_Record 1'!C" &amp; ROW()))</f>
        <v>625</v>
      </c>
      <c r="C353" s="8" t="str" cm="1">
        <f t="array" aca="1" ref="C353" ca="1">IF(INDIRECT("'Student_Record 1'!E" &amp; ROW())="", "", INDIRECT("'Student_Record 1'!E" &amp; ROW()))</f>
        <v>MANKUSH JAT</v>
      </c>
      <c r="D353" s="8" t="str" cm="1">
        <f t="array" aca="1" ref="D353" ca="1">IF(INDIRECT("'Student_Record 1'!G" &amp; ROW())="", "", INDIRECT("'Student_Record 1'!G" &amp; ROW()))</f>
        <v>RANJEET JAT</v>
      </c>
      <c r="E353" s="8" t="str" cm="1">
        <f t="array" aca="1" ref="E353" ca="1">IF(INDIRECT("'Student_Record 1'!I" &amp; ROW())="", "", INDIRECT("'Student_Record 1'!I" &amp; ROW()))</f>
        <v>F</v>
      </c>
      <c r="F353" s="8" t="str" cm="1">
        <f t="array" aca="1" ref="F353" ca="1">IF(INDIRECT("'Student_Record 1'!O" &amp; ROW())="", "", INDIRECT("'Student_Record 1'!O" &amp; ROW()))</f>
        <v>OBC</v>
      </c>
      <c r="G353" s="11"/>
      <c r="I353" s="11"/>
      <c r="J353" s="11"/>
      <c r="K353" s="11"/>
      <c r="L353" s="11"/>
      <c r="M353" s="11"/>
      <c r="N353" s="11"/>
      <c r="O353" s="11"/>
      <c r="P353" s="11"/>
      <c r="Q353" s="11"/>
    </row>
    <row r="354" spans="1:17" x14ac:dyDescent="0.25">
      <c r="A354" s="8" cm="1">
        <f t="array" aca="1" ref="A354" ca="1">IF(INDIRECT("'Student_Record 1'!A" &amp; ROW())="", "", INDIRECT("'Student_Record 1'!A" &amp; ROW()))</f>
        <v>12</v>
      </c>
      <c r="B354" s="8" cm="1">
        <f t="array" aca="1" ref="B354" ca="1">IF(INDIRECT("'Student_Record 1'!C" &amp; ROW())="", "", INDIRECT("'Student_Record 1'!C" &amp; ROW()))</f>
        <v>298</v>
      </c>
      <c r="C354" s="8" t="str" cm="1">
        <f t="array" aca="1" ref="C354" ca="1">IF(INDIRECT("'Student_Record 1'!E" &amp; ROW())="", "", INDIRECT("'Student_Record 1'!E" &amp; ROW()))</f>
        <v>MANOJ CHOUDHARY</v>
      </c>
      <c r="D354" s="8" t="str" cm="1">
        <f t="array" aca="1" ref="D354" ca="1">IF(INDIRECT("'Student_Record 1'!G" &amp; ROW())="", "", INDIRECT("'Student_Record 1'!G" &amp; ROW()))</f>
        <v>KAILASH CHOUDHARY</v>
      </c>
      <c r="E354" s="8" t="str" cm="1">
        <f t="array" aca="1" ref="E354" ca="1">IF(INDIRECT("'Student_Record 1'!I" &amp; ROW())="", "", INDIRECT("'Student_Record 1'!I" &amp; ROW()))</f>
        <v>M</v>
      </c>
      <c r="F354" s="8" t="str" cm="1">
        <f t="array" aca="1" ref="F354" ca="1">IF(INDIRECT("'Student_Record 1'!O" &amp; ROW())="", "", INDIRECT("'Student_Record 1'!O" &amp; ROW()))</f>
        <v>OBC</v>
      </c>
      <c r="G354" s="11"/>
      <c r="I354" s="11"/>
      <c r="J354" s="11"/>
      <c r="K354" s="11"/>
      <c r="L354" s="11"/>
      <c r="M354" s="11"/>
      <c r="N354" s="11"/>
      <c r="O354" s="11"/>
      <c r="P354" s="11"/>
      <c r="Q354" s="11"/>
    </row>
    <row r="355" spans="1:17" x14ac:dyDescent="0.25">
      <c r="A355" s="8" cm="1">
        <f t="array" aca="1" ref="A355" ca="1">IF(INDIRECT("'Student_Record 1'!A" &amp; ROW())="", "", INDIRECT("'Student_Record 1'!A" &amp; ROW()))</f>
        <v>12</v>
      </c>
      <c r="B355" s="8" cm="1">
        <f t="array" aca="1" ref="B355" ca="1">IF(INDIRECT("'Student_Record 1'!C" &amp; ROW())="", "", INDIRECT("'Student_Record 1'!C" &amp; ROW()))</f>
        <v>854</v>
      </c>
      <c r="C355" s="8" t="str" cm="1">
        <f t="array" aca="1" ref="C355" ca="1">IF(INDIRECT("'Student_Record 1'!E" &amp; ROW())="", "", INDIRECT("'Student_Record 1'!E" &amp; ROW()))</f>
        <v>Mansa Choudhary</v>
      </c>
      <c r="D355" s="8" t="str" cm="1">
        <f t="array" aca="1" ref="D355" ca="1">IF(INDIRECT("'Student_Record 1'!G" &amp; ROW())="", "", INDIRECT("'Student_Record 1'!G" &amp; ROW()))</f>
        <v>Shri Ram Choudhary</v>
      </c>
      <c r="E355" s="8" t="str" cm="1">
        <f t="array" aca="1" ref="E355" ca="1">IF(INDIRECT("'Student_Record 1'!I" &amp; ROW())="", "", INDIRECT("'Student_Record 1'!I" &amp; ROW()))</f>
        <v>F</v>
      </c>
      <c r="F355" s="8" t="str" cm="1">
        <f t="array" aca="1" ref="F355" ca="1">IF(INDIRECT("'Student_Record 1'!O" &amp; ROW())="", "", INDIRECT("'Student_Record 1'!O" &amp; ROW()))</f>
        <v>OBC</v>
      </c>
      <c r="G355" s="11"/>
      <c r="I355" s="11"/>
      <c r="J355" s="11"/>
      <c r="K355" s="11"/>
      <c r="L355" s="11"/>
      <c r="M355" s="11"/>
      <c r="N355" s="11"/>
      <c r="O355" s="11"/>
      <c r="P355" s="11"/>
      <c r="Q355" s="11"/>
    </row>
    <row r="356" spans="1:17" x14ac:dyDescent="0.25">
      <c r="A356" s="8" cm="1">
        <f t="array" aca="1" ref="A356" ca="1">IF(INDIRECT("'Student_Record 1'!A" &amp; ROW())="", "", INDIRECT("'Student_Record 1'!A" &amp; ROW()))</f>
        <v>12</v>
      </c>
      <c r="B356" s="8" cm="1">
        <f t="array" aca="1" ref="B356" ca="1">IF(INDIRECT("'Student_Record 1'!C" &amp; ROW())="", "", INDIRECT("'Student_Record 1'!C" &amp; ROW()))</f>
        <v>828</v>
      </c>
      <c r="C356" s="8" t="str" cm="1">
        <f t="array" aca="1" ref="C356" ca="1">IF(INDIRECT("'Student_Record 1'!E" &amp; ROW())="", "", INDIRECT("'Student_Record 1'!E" &amp; ROW()))</f>
        <v>MONA RAM JAT</v>
      </c>
      <c r="D356" s="8" t="str" cm="1">
        <f t="array" aca="1" ref="D356" ca="1">IF(INDIRECT("'Student_Record 1'!G" &amp; ROW())="", "", INDIRECT("'Student_Record 1'!G" &amp; ROW()))</f>
        <v>MANGALA RAM JAT</v>
      </c>
      <c r="E356" s="8" t="str" cm="1">
        <f t="array" aca="1" ref="E356" ca="1">IF(INDIRECT("'Student_Record 1'!I" &amp; ROW())="", "", INDIRECT("'Student_Record 1'!I" &amp; ROW()))</f>
        <v>M</v>
      </c>
      <c r="F356" s="8" t="str" cm="1">
        <f t="array" aca="1" ref="F356" ca="1">IF(INDIRECT("'Student_Record 1'!O" &amp; ROW())="", "", INDIRECT("'Student_Record 1'!O" &amp; ROW()))</f>
        <v>OBC</v>
      </c>
      <c r="G356" s="11"/>
      <c r="I356" s="11"/>
      <c r="J356" s="11"/>
      <c r="K356" s="11"/>
      <c r="L356" s="11"/>
      <c r="M356" s="11"/>
      <c r="N356" s="11"/>
      <c r="O356" s="11"/>
      <c r="P356" s="11"/>
      <c r="Q356" s="11"/>
    </row>
    <row r="357" spans="1:17" x14ac:dyDescent="0.25">
      <c r="A357" s="8" cm="1">
        <f t="array" aca="1" ref="A357" ca="1">IF(INDIRECT("'Student_Record 1'!A" &amp; ROW())="", "", INDIRECT("'Student_Record 1'!A" &amp; ROW()))</f>
        <v>12</v>
      </c>
      <c r="B357" s="8" cm="1">
        <f t="array" aca="1" ref="B357" ca="1">IF(INDIRECT("'Student_Record 1'!C" &amp; ROW())="", "", INDIRECT("'Student_Record 1'!C" &amp; ROW()))</f>
        <v>724</v>
      </c>
      <c r="C357" s="8" t="str" cm="1">
        <f t="array" aca="1" ref="C357" ca="1">IF(INDIRECT("'Student_Record 1'!E" &amp; ROW())="", "", INDIRECT("'Student_Record 1'!E" &amp; ROW()))</f>
        <v>Naraj Choudhary</v>
      </c>
      <c r="D357" s="8" t="str" cm="1">
        <f t="array" aca="1" ref="D357" ca="1">IF(INDIRECT("'Student_Record 1'!G" &amp; ROW())="", "", INDIRECT("'Student_Record 1'!G" &amp; ROW()))</f>
        <v>Bhagchand Choudhary</v>
      </c>
      <c r="E357" s="8" t="str" cm="1">
        <f t="array" aca="1" ref="E357" ca="1">IF(INDIRECT("'Student_Record 1'!I" &amp; ROW())="", "", INDIRECT("'Student_Record 1'!I" &amp; ROW()))</f>
        <v>F</v>
      </c>
      <c r="F357" s="8" t="str" cm="1">
        <f t="array" aca="1" ref="F357" ca="1">IF(INDIRECT("'Student_Record 1'!O" &amp; ROW())="", "", INDIRECT("'Student_Record 1'!O" &amp; ROW()))</f>
        <v>OBC</v>
      </c>
      <c r="G357" s="11"/>
      <c r="I357" s="11"/>
      <c r="J357" s="11"/>
      <c r="K357" s="11"/>
      <c r="L357" s="11"/>
      <c r="M357" s="11"/>
      <c r="N357" s="11"/>
      <c r="O357" s="11"/>
      <c r="P357" s="11"/>
      <c r="Q357" s="11"/>
    </row>
    <row r="358" spans="1:17" x14ac:dyDescent="0.25">
      <c r="A358" s="8" cm="1">
        <f t="array" aca="1" ref="A358" ca="1">IF(INDIRECT("'Student_Record 1'!A" &amp; ROW())="", "", INDIRECT("'Student_Record 1'!A" &amp; ROW()))</f>
        <v>12</v>
      </c>
      <c r="B358" s="8" cm="1">
        <f t="array" aca="1" ref="B358" ca="1">IF(INDIRECT("'Student_Record 1'!C" &amp; ROW())="", "", INDIRECT("'Student_Record 1'!C" &amp; ROW()))</f>
        <v>851</v>
      </c>
      <c r="C358" s="8" t="str" cm="1">
        <f t="array" aca="1" ref="C358" ca="1">IF(INDIRECT("'Student_Record 1'!E" &amp; ROW())="", "", INDIRECT("'Student_Record 1'!E" &amp; ROW()))</f>
        <v>Pintu Jat</v>
      </c>
      <c r="D358" s="8" t="str" cm="1">
        <f t="array" aca="1" ref="D358" ca="1">IF(INDIRECT("'Student_Record 1'!G" &amp; ROW())="", "", INDIRECT("'Student_Record 1'!G" &amp; ROW()))</f>
        <v>Mahaveer Jat</v>
      </c>
      <c r="E358" s="8" t="str" cm="1">
        <f t="array" aca="1" ref="E358" ca="1">IF(INDIRECT("'Student_Record 1'!I" &amp; ROW())="", "", INDIRECT("'Student_Record 1'!I" &amp; ROW()))</f>
        <v>M</v>
      </c>
      <c r="F358" s="8" t="str" cm="1">
        <f t="array" aca="1" ref="F358" ca="1">IF(INDIRECT("'Student_Record 1'!O" &amp; ROW())="", "", INDIRECT("'Student_Record 1'!O" &amp; ROW()))</f>
        <v>OBC</v>
      </c>
      <c r="G358" s="11"/>
      <c r="I358" s="11"/>
      <c r="J358" s="11"/>
      <c r="K358" s="11"/>
      <c r="L358" s="11"/>
      <c r="M358" s="11"/>
      <c r="N358" s="11"/>
      <c r="O358" s="11"/>
      <c r="P358" s="11"/>
      <c r="Q358" s="11"/>
    </row>
    <row r="359" spans="1:17" x14ac:dyDescent="0.25">
      <c r="A359" s="8" cm="1">
        <f t="array" aca="1" ref="A359" ca="1">IF(INDIRECT("'Student_Record 1'!A" &amp; ROW())="", "", INDIRECT("'Student_Record 1'!A" &amp; ROW()))</f>
        <v>12</v>
      </c>
      <c r="B359" s="8" cm="1">
        <f t="array" aca="1" ref="B359" ca="1">IF(INDIRECT("'Student_Record 1'!C" &amp; ROW())="", "", INDIRECT("'Student_Record 1'!C" &amp; ROW()))</f>
        <v>416</v>
      </c>
      <c r="C359" s="8" t="str" cm="1">
        <f t="array" aca="1" ref="C359" ca="1">IF(INDIRECT("'Student_Record 1'!E" &amp; ROW())="", "", INDIRECT("'Student_Record 1'!E" &amp; ROW()))</f>
        <v>PRADEEP CHOUDHARY</v>
      </c>
      <c r="D359" s="8" t="str" cm="1">
        <f t="array" aca="1" ref="D359" ca="1">IF(INDIRECT("'Student_Record 1'!G" &amp; ROW())="", "", INDIRECT("'Student_Record 1'!G" &amp; ROW()))</f>
        <v>KAILASH JAT</v>
      </c>
      <c r="E359" s="8" t="str" cm="1">
        <f t="array" aca="1" ref="E359" ca="1">IF(INDIRECT("'Student_Record 1'!I" &amp; ROW())="", "", INDIRECT("'Student_Record 1'!I" &amp; ROW()))</f>
        <v>M</v>
      </c>
      <c r="F359" s="8" t="str" cm="1">
        <f t="array" aca="1" ref="F359" ca="1">IF(INDIRECT("'Student_Record 1'!O" &amp; ROW())="", "", INDIRECT("'Student_Record 1'!O" &amp; ROW()))</f>
        <v>OBC</v>
      </c>
      <c r="G359" s="11"/>
      <c r="I359" s="11"/>
      <c r="J359" s="11"/>
      <c r="K359" s="11"/>
      <c r="L359" s="11"/>
      <c r="M359" s="11"/>
      <c r="N359" s="11"/>
      <c r="O359" s="11"/>
      <c r="P359" s="11"/>
      <c r="Q359" s="11"/>
    </row>
    <row r="360" spans="1:17" x14ac:dyDescent="0.25">
      <c r="A360" s="8" cm="1">
        <f t="array" aca="1" ref="A360" ca="1">IF(INDIRECT("'Student_Record 1'!A" &amp; ROW())="", "", INDIRECT("'Student_Record 1'!A" &amp; ROW()))</f>
        <v>12</v>
      </c>
      <c r="B360" s="8" cm="1">
        <f t="array" aca="1" ref="B360" ca="1">IF(INDIRECT("'Student_Record 1'!C" &amp; ROW())="", "", INDIRECT("'Student_Record 1'!C" &amp; ROW()))</f>
        <v>833</v>
      </c>
      <c r="C360" s="8" t="str" cm="1">
        <f t="array" aca="1" ref="C360" ca="1">IF(INDIRECT("'Student_Record 1'!E" &amp; ROW())="", "", INDIRECT("'Student_Record 1'!E" &amp; ROW()))</f>
        <v>RAMCHANDRA BHEEL</v>
      </c>
      <c r="D360" s="8" t="str" cm="1">
        <f t="array" aca="1" ref="D360" ca="1">IF(INDIRECT("'Student_Record 1'!G" &amp; ROW())="", "", INDIRECT("'Student_Record 1'!G" &amp; ROW()))</f>
        <v>BHAIRU LAL BHEEL</v>
      </c>
      <c r="E360" s="8" t="str" cm="1">
        <f t="array" aca="1" ref="E360" ca="1">IF(INDIRECT("'Student_Record 1'!I" &amp; ROW())="", "", INDIRECT("'Student_Record 1'!I" &amp; ROW()))</f>
        <v>M</v>
      </c>
      <c r="F360" s="8" t="str" cm="1">
        <f t="array" aca="1" ref="F360" ca="1">IF(INDIRECT("'Student_Record 1'!O" &amp; ROW())="", "", INDIRECT("'Student_Record 1'!O" &amp; ROW()))</f>
        <v>ST</v>
      </c>
      <c r="G360" s="11"/>
      <c r="I360" s="11"/>
      <c r="J360" s="11"/>
      <c r="K360" s="11"/>
      <c r="L360" s="11"/>
      <c r="M360" s="11"/>
      <c r="N360" s="11"/>
      <c r="O360" s="11"/>
      <c r="P360" s="11"/>
      <c r="Q360" s="11"/>
    </row>
    <row r="361" spans="1:17" x14ac:dyDescent="0.25">
      <c r="A361" s="8" cm="1">
        <f t="array" aca="1" ref="A361" ca="1">IF(INDIRECT("'Student_Record 1'!A" &amp; ROW())="", "", INDIRECT("'Student_Record 1'!A" &amp; ROW()))</f>
        <v>12</v>
      </c>
      <c r="B361" s="8" cm="1">
        <f t="array" aca="1" ref="B361" ca="1">IF(INDIRECT("'Student_Record 1'!C" &amp; ROW())="", "", INDIRECT("'Student_Record 1'!C" &amp; ROW()))</f>
        <v>475</v>
      </c>
      <c r="C361" s="8" t="str" cm="1">
        <f t="array" aca="1" ref="C361" ca="1">IF(INDIRECT("'Student_Record 1'!E" &amp; ROW())="", "", INDIRECT("'Student_Record 1'!E" &amp; ROW()))</f>
        <v>SAMPAT</v>
      </c>
      <c r="D361" s="8" t="str" cm="1">
        <f t="array" aca="1" ref="D361" ca="1">IF(INDIRECT("'Student_Record 1'!G" &amp; ROW())="", "", INDIRECT("'Student_Record 1'!G" &amp; ROW()))</f>
        <v>SAWAR LAL JAT</v>
      </c>
      <c r="E361" s="8" t="str" cm="1">
        <f t="array" aca="1" ref="E361" ca="1">IF(INDIRECT("'Student_Record 1'!I" &amp; ROW())="", "", INDIRECT("'Student_Record 1'!I" &amp; ROW()))</f>
        <v>F</v>
      </c>
      <c r="F361" s="8" t="str" cm="1">
        <f t="array" aca="1" ref="F361" ca="1">IF(INDIRECT("'Student_Record 1'!O" &amp; ROW())="", "", INDIRECT("'Student_Record 1'!O" &amp; ROW()))</f>
        <v>OBC</v>
      </c>
      <c r="G361" s="11"/>
      <c r="I361" s="11"/>
      <c r="J361" s="11"/>
      <c r="K361" s="11"/>
      <c r="L361" s="11"/>
      <c r="M361" s="11"/>
      <c r="N361" s="11"/>
      <c r="O361" s="11"/>
      <c r="P361" s="11"/>
      <c r="Q361" s="11"/>
    </row>
    <row r="362" spans="1:17" x14ac:dyDescent="0.25">
      <c r="A362" s="8" cm="1">
        <f t="array" aca="1" ref="A362" ca="1">IF(INDIRECT("'Student_Record 1'!A" &amp; ROW())="", "", INDIRECT("'Student_Record 1'!A" &amp; ROW()))</f>
        <v>12</v>
      </c>
      <c r="B362" s="8" cm="1">
        <f t="array" aca="1" ref="B362" ca="1">IF(INDIRECT("'Student_Record 1'!C" &amp; ROW())="", "", INDIRECT("'Student_Record 1'!C" &amp; ROW()))</f>
        <v>474</v>
      </c>
      <c r="C362" s="8" t="str" cm="1">
        <f t="array" aca="1" ref="C362" ca="1">IF(INDIRECT("'Student_Record 1'!E" &amp; ROW())="", "", INDIRECT("'Student_Record 1'!E" &amp; ROW()))</f>
        <v>SEEMA DEVI</v>
      </c>
      <c r="D362" s="8" t="str" cm="1">
        <f t="array" aca="1" ref="D362" ca="1">IF(INDIRECT("'Student_Record 1'!G" &amp; ROW())="", "", INDIRECT("'Student_Record 1'!G" &amp; ROW()))</f>
        <v>GYARSILAL</v>
      </c>
      <c r="E362" s="8" t="str" cm="1">
        <f t="array" aca="1" ref="E362" ca="1">IF(INDIRECT("'Student_Record 1'!I" &amp; ROW())="", "", INDIRECT("'Student_Record 1'!I" &amp; ROW()))</f>
        <v>F</v>
      </c>
      <c r="F362" s="8" t="str" cm="1">
        <f t="array" aca="1" ref="F362" ca="1">IF(INDIRECT("'Student_Record 1'!O" &amp; ROW())="", "", INDIRECT("'Student_Record 1'!O" &amp; ROW()))</f>
        <v>OBC</v>
      </c>
      <c r="G362" s="11"/>
      <c r="I362" s="11"/>
      <c r="J362" s="11"/>
      <c r="K362" s="11"/>
      <c r="L362" s="11"/>
      <c r="M362" s="11"/>
      <c r="N362" s="11"/>
      <c r="O362" s="11"/>
      <c r="P362" s="11"/>
      <c r="Q362" s="11"/>
    </row>
    <row r="363" spans="1:17" x14ac:dyDescent="0.25">
      <c r="A363" s="8" cm="1">
        <f t="array" aca="1" ref="A363" ca="1">IF(INDIRECT("'Student_Record 1'!A" &amp; ROW())="", "", INDIRECT("'Student_Record 1'!A" &amp; ROW()))</f>
        <v>12</v>
      </c>
      <c r="B363" s="8" cm="1">
        <f t="array" aca="1" ref="B363" ca="1">IF(INDIRECT("'Student_Record 1'!C" &amp; ROW())="", "", INDIRECT("'Student_Record 1'!C" &amp; ROW()))</f>
        <v>549</v>
      </c>
      <c r="C363" s="8" t="str" cm="1">
        <f t="array" aca="1" ref="C363" ca="1">IF(INDIRECT("'Student_Record 1'!E" &amp; ROW())="", "", INDIRECT("'Student_Record 1'!E" &amp; ROW()))</f>
        <v>SONU PRAJAPAT</v>
      </c>
      <c r="D363" s="8" t="str" cm="1">
        <f t="array" aca="1" ref="D363" ca="1">IF(INDIRECT("'Student_Record 1'!G" &amp; ROW())="", "", INDIRECT("'Student_Record 1'!G" &amp; ROW()))</f>
        <v>MAHAVEER PRAJAPAT</v>
      </c>
      <c r="E363" s="8" t="str" cm="1">
        <f t="array" aca="1" ref="E363" ca="1">IF(INDIRECT("'Student_Record 1'!I" &amp; ROW())="", "", INDIRECT("'Student_Record 1'!I" &amp; ROW()))</f>
        <v>F</v>
      </c>
      <c r="F363" s="8" t="str" cm="1">
        <f t="array" aca="1" ref="F363" ca="1">IF(INDIRECT("'Student_Record 1'!O" &amp; ROW())="", "", INDIRECT("'Student_Record 1'!O" &amp; ROW()))</f>
        <v>OBC</v>
      </c>
      <c r="G363" s="11"/>
      <c r="I363" s="11"/>
      <c r="J363" s="11"/>
      <c r="K363" s="11"/>
      <c r="L363" s="11"/>
      <c r="M363" s="11"/>
      <c r="N363" s="11"/>
      <c r="O363" s="11"/>
      <c r="P363" s="11"/>
      <c r="Q363" s="11"/>
    </row>
    <row r="364" spans="1:17" x14ac:dyDescent="0.25">
      <c r="A364" s="8" cm="1">
        <f t="array" aca="1" ref="A364" ca="1">IF(INDIRECT("'Student_Record 1'!A" &amp; ROW())="", "", INDIRECT("'Student_Record 1'!A" &amp; ROW()))</f>
        <v>12</v>
      </c>
      <c r="B364" s="8" cm="1">
        <f t="array" aca="1" ref="B364" ca="1">IF(INDIRECT("'Student_Record 1'!C" &amp; ROW())="", "", INDIRECT("'Student_Record 1'!C" &amp; ROW()))</f>
        <v>233</v>
      </c>
      <c r="C364" s="8" t="str" cm="1">
        <f t="array" aca="1" ref="C364" ca="1">IF(INDIRECT("'Student_Record 1'!E" &amp; ROW())="", "", INDIRECT("'Student_Record 1'!E" &amp; ROW()))</f>
        <v>SUGNA JAT</v>
      </c>
      <c r="D364" s="8" t="str" cm="1">
        <f t="array" aca="1" ref="D364" ca="1">IF(INDIRECT("'Student_Record 1'!G" &amp; ROW())="", "", INDIRECT("'Student_Record 1'!G" &amp; ROW()))</f>
        <v>HARDEEN JAT</v>
      </c>
      <c r="E364" s="8" t="str" cm="1">
        <f t="array" aca="1" ref="E364" ca="1">IF(INDIRECT("'Student_Record 1'!I" &amp; ROW())="", "", INDIRECT("'Student_Record 1'!I" &amp; ROW()))</f>
        <v>F</v>
      </c>
      <c r="F364" s="8" t="str" cm="1">
        <f t="array" aca="1" ref="F364" ca="1">IF(INDIRECT("'Student_Record 1'!O" &amp; ROW())="", "", INDIRECT("'Student_Record 1'!O" &amp; ROW()))</f>
        <v>OBC</v>
      </c>
      <c r="G364" s="11"/>
      <c r="I364" s="11"/>
      <c r="J364" s="11"/>
      <c r="K364" s="11"/>
      <c r="L364" s="11"/>
      <c r="M364" s="11"/>
      <c r="N364" s="11"/>
      <c r="O364" s="11"/>
      <c r="P364" s="11"/>
      <c r="Q364" s="11"/>
    </row>
    <row r="365" spans="1:17" x14ac:dyDescent="0.25">
      <c r="A365" s="8" cm="1">
        <f t="array" aca="1" ref="A365" ca="1">IF(INDIRECT("'Student_Record 1'!A" &amp; ROW())="", "", INDIRECT("'Student_Record 1'!A" &amp; ROW()))</f>
        <v>12</v>
      </c>
      <c r="B365" s="8" cm="1">
        <f t="array" aca="1" ref="B365" ca="1">IF(INDIRECT("'Student_Record 1'!C" &amp; ROW())="", "", INDIRECT("'Student_Record 1'!C" &amp; ROW()))</f>
        <v>472</v>
      </c>
      <c r="C365" s="8" t="str" cm="1">
        <f t="array" aca="1" ref="C365" ca="1">IF(INDIRECT("'Student_Record 1'!E" &amp; ROW())="", "", INDIRECT("'Student_Record 1'!E" &amp; ROW()))</f>
        <v>SUMAN</v>
      </c>
      <c r="D365" s="8" t="str" cm="1">
        <f t="array" aca="1" ref="D365" ca="1">IF(INDIRECT("'Student_Record 1'!G" &amp; ROW())="", "", INDIRECT("'Student_Record 1'!G" &amp; ROW()))</f>
        <v>KANARAM JAT</v>
      </c>
      <c r="E365" s="8" t="str" cm="1">
        <f t="array" aca="1" ref="E365" ca="1">IF(INDIRECT("'Student_Record 1'!I" &amp; ROW())="", "", INDIRECT("'Student_Record 1'!I" &amp; ROW()))</f>
        <v>F</v>
      </c>
      <c r="F365" s="8" t="str" cm="1">
        <f t="array" aca="1" ref="F365" ca="1">IF(INDIRECT("'Student_Record 1'!O" &amp; ROW())="", "", INDIRECT("'Student_Record 1'!O" &amp; ROW()))</f>
        <v>OBC</v>
      </c>
      <c r="G365" s="11"/>
      <c r="I365" s="11"/>
      <c r="J365" s="11"/>
      <c r="K365" s="11"/>
      <c r="L365" s="11"/>
      <c r="M365" s="11"/>
      <c r="N365" s="11"/>
      <c r="O365" s="11"/>
      <c r="P365" s="11"/>
      <c r="Q365" s="11"/>
    </row>
    <row r="366" spans="1:17" x14ac:dyDescent="0.25">
      <c r="A366" s="8" cm="1">
        <f t="array" aca="1" ref="A366" ca="1">IF(INDIRECT("'Student_Record 1'!A" &amp; ROW())="", "", INDIRECT("'Student_Record 1'!A" &amp; ROW()))</f>
        <v>12</v>
      </c>
      <c r="B366" s="8" cm="1">
        <f t="array" aca="1" ref="B366" ca="1">IF(INDIRECT("'Student_Record 1'!C" &amp; ROW())="", "", INDIRECT("'Student_Record 1'!C" &amp; ROW()))</f>
        <v>471</v>
      </c>
      <c r="C366" s="8" t="str" cm="1">
        <f t="array" aca="1" ref="C366" ca="1">IF(INDIRECT("'Student_Record 1'!E" &amp; ROW())="", "", INDIRECT("'Student_Record 1'!E" &amp; ROW()))</f>
        <v>SUMAN</v>
      </c>
      <c r="D366" s="8" t="str" cm="1">
        <f t="array" aca="1" ref="D366" ca="1">IF(INDIRECT("'Student_Record 1'!G" &amp; ROW())="", "", INDIRECT("'Student_Record 1'!G" &amp; ROW()))</f>
        <v>RAMKEN JAT</v>
      </c>
      <c r="E366" s="8" t="str" cm="1">
        <f t="array" aca="1" ref="E366" ca="1">IF(INDIRECT("'Student_Record 1'!I" &amp; ROW())="", "", INDIRECT("'Student_Record 1'!I" &amp; ROW()))</f>
        <v>F</v>
      </c>
      <c r="F366" s="8" t="str" cm="1">
        <f t="array" aca="1" ref="F366" ca="1">IF(INDIRECT("'Student_Record 1'!O" &amp; ROW())="", "", INDIRECT("'Student_Record 1'!O" &amp; ROW()))</f>
        <v>OBC</v>
      </c>
      <c r="G366" s="11"/>
      <c r="I366" s="11"/>
      <c r="J366" s="11"/>
      <c r="K366" s="11"/>
      <c r="L366" s="11"/>
      <c r="M366" s="11"/>
      <c r="N366" s="11"/>
      <c r="O366" s="11"/>
      <c r="P366" s="11"/>
      <c r="Q366" s="11"/>
    </row>
    <row r="367" spans="1:17" x14ac:dyDescent="0.25">
      <c r="A367" s="8" cm="1">
        <f t="array" aca="1" ref="A367" ca="1">IF(INDIRECT("'Student_Record 1'!A" &amp; ROW())="", "", INDIRECT("'Student_Record 1'!A" &amp; ROW()))</f>
        <v>12</v>
      </c>
      <c r="B367" s="8" cm="1">
        <f t="array" aca="1" ref="B367" ca="1">IF(INDIRECT("'Student_Record 1'!C" &amp; ROW())="", "", INDIRECT("'Student_Record 1'!C" &amp; ROW()))</f>
        <v>668</v>
      </c>
      <c r="C367" s="8" t="str" cm="1">
        <f t="array" aca="1" ref="C367" ca="1">IF(INDIRECT("'Student_Record 1'!E" &amp; ROW())="", "", INDIRECT("'Student_Record 1'!E" &amp; ROW()))</f>
        <v>TONA CHOUDHARY</v>
      </c>
      <c r="D367" s="8" t="str" cm="1">
        <f t="array" aca="1" ref="D367" ca="1">IF(INDIRECT("'Student_Record 1'!G" &amp; ROW())="", "", INDIRECT("'Student_Record 1'!G" &amp; ROW()))</f>
        <v>PRAHLAD</v>
      </c>
      <c r="E367" s="8" t="str" cm="1">
        <f t="array" aca="1" ref="E367" ca="1">IF(INDIRECT("'Student_Record 1'!I" &amp; ROW())="", "", INDIRECT("'Student_Record 1'!I" &amp; ROW()))</f>
        <v>F</v>
      </c>
      <c r="F367" s="8" t="str" cm="1">
        <f t="array" aca="1" ref="F367" ca="1">IF(INDIRECT("'Student_Record 1'!O" &amp; ROW())="", "", INDIRECT("'Student_Record 1'!O" &amp; ROW()))</f>
        <v>OBC</v>
      </c>
      <c r="G367" s="11"/>
      <c r="I367" s="11"/>
      <c r="J367" s="11"/>
      <c r="K367" s="11"/>
      <c r="L367" s="11"/>
      <c r="M367" s="11"/>
      <c r="N367" s="11"/>
      <c r="O367" s="11"/>
      <c r="P367" s="11"/>
      <c r="Q367" s="11"/>
    </row>
    <row r="368" spans="1:17" x14ac:dyDescent="0.25">
      <c r="A368" s="8" t="str" cm="1">
        <f t="array" aca="1" ref="A368" ca="1">IF(INDIRECT("'Student_Record 1'!A" &amp; ROW())="", "", INDIRECT("'Student_Record 1'!A" &amp; ROW()))</f>
        <v/>
      </c>
      <c r="B368" s="8" t="str" cm="1">
        <f t="array" aca="1" ref="B368" ca="1">IF(INDIRECT("'Student_Record 1'!C" &amp; ROW())="", "", INDIRECT("'Student_Record 1'!C" &amp; ROW()))</f>
        <v/>
      </c>
      <c r="C368" s="8" t="str" cm="1">
        <f t="array" aca="1" ref="C368" ca="1">IF(INDIRECT("'Student_Record 1'!E" &amp; ROW())="", "", INDIRECT("'Student_Record 1'!E" &amp; ROW()))</f>
        <v/>
      </c>
      <c r="D368" s="8" t="str" cm="1">
        <f t="array" aca="1" ref="D368" ca="1">IF(INDIRECT("'Student_Record 1'!G" &amp; ROW())="", "", INDIRECT("'Student_Record 1'!G" &amp; ROW()))</f>
        <v/>
      </c>
      <c r="E368" s="8" t="str" cm="1">
        <f t="array" aca="1" ref="E368" ca="1">IF(INDIRECT("'Student_Record 1'!I" &amp; ROW())="", "", INDIRECT("'Student_Record 1'!I" &amp; ROW()))</f>
        <v/>
      </c>
      <c r="F368" s="8" t="str" cm="1">
        <f t="array" aca="1" ref="F368" ca="1">IF(INDIRECT("'Student_Record 1'!O" &amp; ROW())="", "", INDIRECT("'Student_Record 1'!O" &amp; ROW()))</f>
        <v/>
      </c>
      <c r="G368" s="11"/>
      <c r="I368" s="11"/>
      <c r="J368" s="11"/>
      <c r="K368" s="11"/>
      <c r="L368" s="11"/>
      <c r="M368" s="11"/>
      <c r="N368" s="11"/>
      <c r="O368" s="11"/>
      <c r="P368" s="11"/>
      <c r="Q368" s="11"/>
    </row>
    <row r="369" spans="1:17" x14ac:dyDescent="0.25">
      <c r="A369" s="8" t="str" cm="1">
        <f t="array" aca="1" ref="A369" ca="1">IF(INDIRECT("'Student_Record 1'!A" &amp; ROW())="", "", INDIRECT("'Student_Record 1'!A" &amp; ROW()))</f>
        <v/>
      </c>
      <c r="B369" s="8" t="str" cm="1">
        <f t="array" aca="1" ref="B369" ca="1">IF(INDIRECT("'Student_Record 1'!C" &amp; ROW())="", "", INDIRECT("'Student_Record 1'!C" &amp; ROW()))</f>
        <v/>
      </c>
      <c r="C369" s="8" t="str" cm="1">
        <f t="array" aca="1" ref="C369" ca="1">IF(INDIRECT("'Student_Record 1'!E" &amp; ROW())="", "", INDIRECT("'Student_Record 1'!E" &amp; ROW()))</f>
        <v/>
      </c>
      <c r="D369" s="8" t="str" cm="1">
        <f t="array" aca="1" ref="D369" ca="1">IF(INDIRECT("'Student_Record 1'!G" &amp; ROW())="", "", INDIRECT("'Student_Record 1'!G" &amp; ROW()))</f>
        <v/>
      </c>
      <c r="E369" s="8" t="str" cm="1">
        <f t="array" aca="1" ref="E369" ca="1">IF(INDIRECT("'Student_Record 1'!I" &amp; ROW())="", "", INDIRECT("'Student_Record 1'!I" &amp; ROW()))</f>
        <v/>
      </c>
      <c r="F369" s="8" t="str" cm="1">
        <f t="array" aca="1" ref="F369" ca="1">IF(INDIRECT("'Student_Record 1'!O" &amp; ROW())="", "", INDIRECT("'Student_Record 1'!O" &amp; ROW()))</f>
        <v/>
      </c>
      <c r="G369" s="11"/>
      <c r="I369" s="11"/>
      <c r="J369" s="11"/>
      <c r="K369" s="11"/>
      <c r="L369" s="11"/>
      <c r="M369" s="11"/>
      <c r="N369" s="11"/>
      <c r="O369" s="11"/>
      <c r="P369" s="11"/>
      <c r="Q369" s="11"/>
    </row>
    <row r="370" spans="1:17" x14ac:dyDescent="0.25">
      <c r="A370" s="8" t="str" cm="1">
        <f t="array" aca="1" ref="A370" ca="1">IF(INDIRECT("'Student_Record 1'!A" &amp; ROW())="", "", INDIRECT("'Student_Record 1'!A" &amp; ROW()))</f>
        <v/>
      </c>
      <c r="B370" s="8" t="str" cm="1">
        <f t="array" aca="1" ref="B370" ca="1">IF(INDIRECT("'Student_Record 1'!C" &amp; ROW())="", "", INDIRECT("'Student_Record 1'!C" &amp; ROW()))</f>
        <v/>
      </c>
      <c r="C370" s="8" t="str" cm="1">
        <f t="array" aca="1" ref="C370" ca="1">IF(INDIRECT("'Student_Record 1'!E" &amp; ROW())="", "", INDIRECT("'Student_Record 1'!E" &amp; ROW()))</f>
        <v/>
      </c>
      <c r="D370" s="8" t="str" cm="1">
        <f t="array" aca="1" ref="D370" ca="1">IF(INDIRECT("'Student_Record 1'!G" &amp; ROW())="", "", INDIRECT("'Student_Record 1'!G" &amp; ROW()))</f>
        <v/>
      </c>
      <c r="E370" s="8" t="str" cm="1">
        <f t="array" aca="1" ref="E370" ca="1">IF(INDIRECT("'Student_Record 1'!I" &amp; ROW())="", "", INDIRECT("'Student_Record 1'!I" &amp; ROW()))</f>
        <v/>
      </c>
      <c r="F370" s="8" t="str" cm="1">
        <f t="array" aca="1" ref="F370" ca="1">IF(INDIRECT("'Student_Record 1'!O" &amp; ROW())="", "", INDIRECT("'Student_Record 1'!O" &amp; ROW()))</f>
        <v/>
      </c>
      <c r="G370" s="11"/>
      <c r="I370" s="11"/>
      <c r="J370" s="11"/>
      <c r="K370" s="11"/>
      <c r="L370" s="11"/>
      <c r="M370" s="11"/>
      <c r="N370" s="11"/>
      <c r="O370" s="11"/>
      <c r="P370" s="11"/>
      <c r="Q370" s="11"/>
    </row>
    <row r="371" spans="1:17" x14ac:dyDescent="0.25">
      <c r="A371" s="8" t="str" cm="1">
        <f t="array" aca="1" ref="A371" ca="1">IF(INDIRECT("'Student_Record 1'!A" &amp; ROW())="", "", INDIRECT("'Student_Record 1'!A" &amp; ROW()))</f>
        <v/>
      </c>
      <c r="B371" s="8" t="str" cm="1">
        <f t="array" aca="1" ref="B371" ca="1">IF(INDIRECT("'Student_Record 1'!C" &amp; ROW())="", "", INDIRECT("'Student_Record 1'!C" &amp; ROW()))</f>
        <v/>
      </c>
      <c r="C371" s="8" t="str" cm="1">
        <f t="array" aca="1" ref="C371" ca="1">IF(INDIRECT("'Student_Record 1'!E" &amp; ROW())="", "", INDIRECT("'Student_Record 1'!E" &amp; ROW()))</f>
        <v/>
      </c>
      <c r="D371" s="8" t="str" cm="1">
        <f t="array" aca="1" ref="D371" ca="1">IF(INDIRECT("'Student_Record 1'!G" &amp; ROW())="", "", INDIRECT("'Student_Record 1'!G" &amp; ROW()))</f>
        <v/>
      </c>
      <c r="E371" s="8" t="str" cm="1">
        <f t="array" aca="1" ref="E371" ca="1">IF(INDIRECT("'Student_Record 1'!I" &amp; ROW())="", "", INDIRECT("'Student_Record 1'!I" &amp; ROW()))</f>
        <v/>
      </c>
      <c r="F371" s="8" t="str" cm="1">
        <f t="array" aca="1" ref="F371" ca="1">IF(INDIRECT("'Student_Record 1'!O" &amp; ROW())="", "", INDIRECT("'Student_Record 1'!O" &amp; ROW()))</f>
        <v/>
      </c>
      <c r="G371" s="11"/>
      <c r="I371" s="11"/>
      <c r="J371" s="11"/>
      <c r="K371" s="11"/>
      <c r="L371" s="11"/>
      <c r="M371" s="11"/>
      <c r="N371" s="11"/>
      <c r="O371" s="11"/>
      <c r="P371" s="11"/>
      <c r="Q371" s="11"/>
    </row>
    <row r="372" spans="1:17" x14ac:dyDescent="0.25">
      <c r="A372" s="8" t="str" cm="1">
        <f t="array" aca="1" ref="A372" ca="1">IF(INDIRECT("'Student_Record 1'!A" &amp; ROW())="", "", INDIRECT("'Student_Record 1'!A" &amp; ROW()))</f>
        <v/>
      </c>
      <c r="B372" s="8" t="str" cm="1">
        <f t="array" aca="1" ref="B372" ca="1">IF(INDIRECT("'Student_Record 1'!C" &amp; ROW())="", "", INDIRECT("'Student_Record 1'!C" &amp; ROW()))</f>
        <v/>
      </c>
      <c r="C372" s="8" t="str" cm="1">
        <f t="array" aca="1" ref="C372" ca="1">IF(INDIRECT("'Student_Record 1'!E" &amp; ROW())="", "", INDIRECT("'Student_Record 1'!E" &amp; ROW()))</f>
        <v/>
      </c>
      <c r="D372" s="8" t="str" cm="1">
        <f t="array" aca="1" ref="D372" ca="1">IF(INDIRECT("'Student_Record 1'!G" &amp; ROW())="", "", INDIRECT("'Student_Record 1'!G" &amp; ROW()))</f>
        <v/>
      </c>
      <c r="E372" s="8" t="str" cm="1">
        <f t="array" aca="1" ref="E372" ca="1">IF(INDIRECT("'Student_Record 1'!I" &amp; ROW())="", "", INDIRECT("'Student_Record 1'!I" &amp; ROW()))</f>
        <v/>
      </c>
      <c r="F372" s="8" t="str" cm="1">
        <f t="array" aca="1" ref="F372" ca="1">IF(INDIRECT("'Student_Record 1'!O" &amp; ROW())="", "", INDIRECT("'Student_Record 1'!O" &amp; ROW()))</f>
        <v/>
      </c>
      <c r="G372" s="11"/>
      <c r="I372" s="11"/>
      <c r="J372" s="11"/>
      <c r="K372" s="11"/>
      <c r="L372" s="11"/>
      <c r="M372" s="11"/>
      <c r="N372" s="11"/>
      <c r="O372" s="11"/>
      <c r="P372" s="11"/>
      <c r="Q372" s="11"/>
    </row>
    <row r="373" spans="1:17" x14ac:dyDescent="0.25">
      <c r="A373" s="8" t="str" cm="1">
        <f t="array" aca="1" ref="A373" ca="1">IF(INDIRECT("'Student_Record 1'!A" &amp; ROW())="", "", INDIRECT("'Student_Record 1'!A" &amp; ROW()))</f>
        <v/>
      </c>
      <c r="B373" s="8" t="str" cm="1">
        <f t="array" aca="1" ref="B373" ca="1">IF(INDIRECT("'Student_Record 1'!C" &amp; ROW())="", "", INDIRECT("'Student_Record 1'!C" &amp; ROW()))</f>
        <v/>
      </c>
      <c r="C373" s="8" t="str" cm="1">
        <f t="array" aca="1" ref="C373" ca="1">IF(INDIRECT("'Student_Record 1'!E" &amp; ROW())="", "", INDIRECT("'Student_Record 1'!E" &amp; ROW()))</f>
        <v/>
      </c>
      <c r="D373" s="8" t="str" cm="1">
        <f t="array" aca="1" ref="D373" ca="1">IF(INDIRECT("'Student_Record 1'!G" &amp; ROW())="", "", INDIRECT("'Student_Record 1'!G" &amp; ROW()))</f>
        <v/>
      </c>
      <c r="E373" s="8" t="str" cm="1">
        <f t="array" aca="1" ref="E373" ca="1">IF(INDIRECT("'Student_Record 1'!I" &amp; ROW())="", "", INDIRECT("'Student_Record 1'!I" &amp; ROW()))</f>
        <v/>
      </c>
      <c r="F373" s="8" t="str" cm="1">
        <f t="array" aca="1" ref="F373" ca="1">IF(INDIRECT("'Student_Record 1'!O" &amp; ROW())="", "", INDIRECT("'Student_Record 1'!O" &amp; ROW()))</f>
        <v/>
      </c>
      <c r="G373" s="11"/>
      <c r="I373" s="11"/>
      <c r="J373" s="11"/>
      <c r="K373" s="11"/>
      <c r="L373" s="11"/>
      <c r="M373" s="11"/>
      <c r="N373" s="11"/>
      <c r="O373" s="11"/>
      <c r="P373" s="11"/>
      <c r="Q373" s="11"/>
    </row>
    <row r="374" spans="1:17" x14ac:dyDescent="0.25">
      <c r="A374" s="8" t="str" cm="1">
        <f t="array" aca="1" ref="A374" ca="1">IF(INDIRECT("'Student_Record 1'!A" &amp; ROW())="", "", INDIRECT("'Student_Record 1'!A" &amp; ROW()))</f>
        <v/>
      </c>
      <c r="B374" s="8" t="str" cm="1">
        <f t="array" aca="1" ref="B374" ca="1">IF(INDIRECT("'Student_Record 1'!C" &amp; ROW())="", "", INDIRECT("'Student_Record 1'!C" &amp; ROW()))</f>
        <v/>
      </c>
      <c r="C374" s="8" t="str" cm="1">
        <f t="array" aca="1" ref="C374" ca="1">IF(INDIRECT("'Student_Record 1'!E" &amp; ROW())="", "", INDIRECT("'Student_Record 1'!E" &amp; ROW()))</f>
        <v/>
      </c>
      <c r="D374" s="8" t="str" cm="1">
        <f t="array" aca="1" ref="D374" ca="1">IF(INDIRECT("'Student_Record 1'!G" &amp; ROW())="", "", INDIRECT("'Student_Record 1'!G" &amp; ROW()))</f>
        <v/>
      </c>
      <c r="E374" s="8" t="str" cm="1">
        <f t="array" aca="1" ref="E374" ca="1">IF(INDIRECT("'Student_Record 1'!I" &amp; ROW())="", "", INDIRECT("'Student_Record 1'!I" &amp; ROW()))</f>
        <v/>
      </c>
      <c r="F374" s="8" t="str" cm="1">
        <f t="array" aca="1" ref="F374" ca="1">IF(INDIRECT("'Student_Record 1'!O" &amp; ROW())="", "", INDIRECT("'Student_Record 1'!O" &amp; ROW()))</f>
        <v/>
      </c>
      <c r="G374" s="11"/>
      <c r="I374" s="11"/>
      <c r="J374" s="11"/>
      <c r="K374" s="11"/>
      <c r="L374" s="11"/>
      <c r="M374" s="11"/>
      <c r="N374" s="11"/>
      <c r="O374" s="11"/>
      <c r="P374" s="11"/>
      <c r="Q374" s="11"/>
    </row>
    <row r="375" spans="1:17" x14ac:dyDescent="0.25">
      <c r="A375" s="8" t="str" cm="1">
        <f t="array" aca="1" ref="A375" ca="1">IF(INDIRECT("'Student_Record 1'!A" &amp; ROW())="", "", INDIRECT("'Student_Record 1'!A" &amp; ROW()))</f>
        <v/>
      </c>
      <c r="B375" s="8" t="str" cm="1">
        <f t="array" aca="1" ref="B375" ca="1">IF(INDIRECT("'Student_Record 1'!C" &amp; ROW())="", "", INDIRECT("'Student_Record 1'!C" &amp; ROW()))</f>
        <v/>
      </c>
      <c r="C375" s="8" t="str" cm="1">
        <f t="array" aca="1" ref="C375" ca="1">IF(INDIRECT("'Student_Record 1'!E" &amp; ROW())="", "", INDIRECT("'Student_Record 1'!E" &amp; ROW()))</f>
        <v/>
      </c>
      <c r="D375" s="8" t="str" cm="1">
        <f t="array" aca="1" ref="D375" ca="1">IF(INDIRECT("'Student_Record 1'!G" &amp; ROW())="", "", INDIRECT("'Student_Record 1'!G" &amp; ROW()))</f>
        <v/>
      </c>
      <c r="E375" s="8" t="str" cm="1">
        <f t="array" aca="1" ref="E375" ca="1">IF(INDIRECT("'Student_Record 1'!I" &amp; ROW())="", "", INDIRECT("'Student_Record 1'!I" &amp; ROW()))</f>
        <v/>
      </c>
      <c r="F375" s="8" t="str" cm="1">
        <f t="array" aca="1" ref="F375" ca="1">IF(INDIRECT("'Student_Record 1'!O" &amp; ROW())="", "", INDIRECT("'Student_Record 1'!O" &amp; ROW()))</f>
        <v/>
      </c>
      <c r="G375" s="11"/>
      <c r="I375" s="11"/>
      <c r="J375" s="11"/>
      <c r="K375" s="11"/>
      <c r="L375" s="11"/>
      <c r="M375" s="11"/>
      <c r="N375" s="11"/>
      <c r="O375" s="11"/>
      <c r="P375" s="11"/>
      <c r="Q375" s="11"/>
    </row>
    <row r="376" spans="1:17" x14ac:dyDescent="0.25">
      <c r="A376" s="8" t="str" cm="1">
        <f t="array" aca="1" ref="A376" ca="1">IF(INDIRECT("'Student_Record 1'!A" &amp; ROW())="", "", INDIRECT("'Student_Record 1'!A" &amp; ROW()))</f>
        <v/>
      </c>
      <c r="B376" s="8" t="str" cm="1">
        <f t="array" aca="1" ref="B376" ca="1">IF(INDIRECT("'Student_Record 1'!C" &amp; ROW())="", "", INDIRECT("'Student_Record 1'!C" &amp; ROW()))</f>
        <v/>
      </c>
      <c r="C376" s="8" t="str" cm="1">
        <f t="array" aca="1" ref="C376" ca="1">IF(INDIRECT("'Student_Record 1'!E" &amp; ROW())="", "", INDIRECT("'Student_Record 1'!E" &amp; ROW()))</f>
        <v/>
      </c>
      <c r="D376" s="8" t="str" cm="1">
        <f t="array" aca="1" ref="D376" ca="1">IF(INDIRECT("'Student_Record 1'!G" &amp; ROW())="", "", INDIRECT("'Student_Record 1'!G" &amp; ROW()))</f>
        <v/>
      </c>
      <c r="E376" s="8" t="str" cm="1">
        <f t="array" aca="1" ref="E376" ca="1">IF(INDIRECT("'Student_Record 1'!I" &amp; ROW())="", "", INDIRECT("'Student_Record 1'!I" &amp; ROW()))</f>
        <v/>
      </c>
      <c r="F376" s="8" t="str" cm="1">
        <f t="array" aca="1" ref="F376" ca="1">IF(INDIRECT("'Student_Record 1'!O" &amp; ROW())="", "", INDIRECT("'Student_Record 1'!O" &amp; ROW()))</f>
        <v/>
      </c>
      <c r="G376" s="11"/>
      <c r="I376" s="11"/>
      <c r="J376" s="11"/>
      <c r="K376" s="11"/>
      <c r="L376" s="11"/>
      <c r="M376" s="11"/>
      <c r="N376" s="11"/>
      <c r="O376" s="11"/>
      <c r="P376" s="11"/>
      <c r="Q376" s="11"/>
    </row>
    <row r="377" spans="1:17" x14ac:dyDescent="0.25">
      <c r="A377" s="8" t="str" cm="1">
        <f t="array" aca="1" ref="A377" ca="1">IF(INDIRECT("'Student_Record 1'!A" &amp; ROW())="", "", INDIRECT("'Student_Record 1'!A" &amp; ROW()))</f>
        <v/>
      </c>
      <c r="B377" s="8" t="str" cm="1">
        <f t="array" aca="1" ref="B377" ca="1">IF(INDIRECT("'Student_Record 1'!C" &amp; ROW())="", "", INDIRECT("'Student_Record 1'!C" &amp; ROW()))</f>
        <v/>
      </c>
      <c r="C377" s="8" t="str" cm="1">
        <f t="array" aca="1" ref="C377" ca="1">IF(INDIRECT("'Student_Record 1'!E" &amp; ROW())="", "", INDIRECT("'Student_Record 1'!E" &amp; ROW()))</f>
        <v/>
      </c>
      <c r="D377" s="8" t="str" cm="1">
        <f t="array" aca="1" ref="D377" ca="1">IF(INDIRECT("'Student_Record 1'!G" &amp; ROW())="", "", INDIRECT("'Student_Record 1'!G" &amp; ROW()))</f>
        <v/>
      </c>
      <c r="E377" s="8" t="str" cm="1">
        <f t="array" aca="1" ref="E377" ca="1">IF(INDIRECT("'Student_Record 1'!I" &amp; ROW())="", "", INDIRECT("'Student_Record 1'!I" &amp; ROW()))</f>
        <v/>
      </c>
      <c r="F377" s="8" t="str" cm="1">
        <f t="array" aca="1" ref="F377" ca="1">IF(INDIRECT("'Student_Record 1'!O" &amp; ROW())="", "", INDIRECT("'Student_Record 1'!O" &amp; ROW()))</f>
        <v/>
      </c>
      <c r="G377" s="11"/>
      <c r="I377" s="11"/>
      <c r="J377" s="11"/>
      <c r="K377" s="11"/>
      <c r="L377" s="11"/>
      <c r="M377" s="11"/>
      <c r="N377" s="11"/>
      <c r="O377" s="11"/>
      <c r="P377" s="11"/>
      <c r="Q377" s="11"/>
    </row>
    <row r="378" spans="1:17" x14ac:dyDescent="0.25">
      <c r="A378" s="8" t="str" cm="1">
        <f t="array" aca="1" ref="A378" ca="1">IF(INDIRECT("'Student_Record 1'!A" &amp; ROW())="", "", INDIRECT("'Student_Record 1'!A" &amp; ROW()))</f>
        <v/>
      </c>
      <c r="B378" s="8" t="str" cm="1">
        <f t="array" aca="1" ref="B378" ca="1">IF(INDIRECT("'Student_Record 1'!C" &amp; ROW())="", "", INDIRECT("'Student_Record 1'!C" &amp; ROW()))</f>
        <v/>
      </c>
      <c r="C378" s="8" t="str" cm="1">
        <f t="array" aca="1" ref="C378" ca="1">IF(INDIRECT("'Student_Record 1'!E" &amp; ROW())="", "", INDIRECT("'Student_Record 1'!E" &amp; ROW()))</f>
        <v/>
      </c>
      <c r="D378" s="8" t="str" cm="1">
        <f t="array" aca="1" ref="D378" ca="1">IF(INDIRECT("'Student_Record 1'!G" &amp; ROW())="", "", INDIRECT("'Student_Record 1'!G" &amp; ROW()))</f>
        <v/>
      </c>
      <c r="E378" s="8" t="str" cm="1">
        <f t="array" aca="1" ref="E378" ca="1">IF(INDIRECT("'Student_Record 1'!I" &amp; ROW())="", "", INDIRECT("'Student_Record 1'!I" &amp; ROW()))</f>
        <v/>
      </c>
      <c r="F378" s="8" t="str" cm="1">
        <f t="array" aca="1" ref="F378" ca="1">IF(INDIRECT("'Student_Record 1'!O" &amp; ROW())="", "", INDIRECT("'Student_Record 1'!O" &amp; ROW()))</f>
        <v/>
      </c>
      <c r="G378" s="11"/>
      <c r="I378" s="11"/>
      <c r="J378" s="11"/>
      <c r="K378" s="11"/>
      <c r="L378" s="11"/>
      <c r="M378" s="11"/>
      <c r="N378" s="11"/>
      <c r="O378" s="11"/>
      <c r="P378" s="11"/>
      <c r="Q378" s="11"/>
    </row>
    <row r="379" spans="1:17" x14ac:dyDescent="0.25">
      <c r="A379" s="8" t="str" cm="1">
        <f t="array" aca="1" ref="A379" ca="1">IF(INDIRECT("'Student_Record 1'!A" &amp; ROW())="", "", INDIRECT("'Student_Record 1'!A" &amp; ROW()))</f>
        <v/>
      </c>
      <c r="B379" s="8" t="str" cm="1">
        <f t="array" aca="1" ref="B379" ca="1">IF(INDIRECT("'Student_Record 1'!C" &amp; ROW())="", "", INDIRECT("'Student_Record 1'!C" &amp; ROW()))</f>
        <v/>
      </c>
      <c r="C379" s="8" t="str" cm="1">
        <f t="array" aca="1" ref="C379" ca="1">IF(INDIRECT("'Student_Record 1'!E" &amp; ROW())="", "", INDIRECT("'Student_Record 1'!E" &amp; ROW()))</f>
        <v/>
      </c>
      <c r="D379" s="8" t="str" cm="1">
        <f t="array" aca="1" ref="D379" ca="1">IF(INDIRECT("'Student_Record 1'!G" &amp; ROW())="", "", INDIRECT("'Student_Record 1'!G" &amp; ROW()))</f>
        <v/>
      </c>
      <c r="E379" s="8" t="str" cm="1">
        <f t="array" aca="1" ref="E379" ca="1">IF(INDIRECT("'Student_Record 1'!I" &amp; ROW())="", "", INDIRECT("'Student_Record 1'!I" &amp; ROW()))</f>
        <v/>
      </c>
      <c r="F379" s="8" t="str" cm="1">
        <f t="array" aca="1" ref="F379" ca="1">IF(INDIRECT("'Student_Record 1'!O" &amp; ROW())="", "", INDIRECT("'Student_Record 1'!O" &amp; ROW()))</f>
        <v/>
      </c>
      <c r="G379" s="11"/>
      <c r="I379" s="11"/>
      <c r="J379" s="11"/>
      <c r="K379" s="11"/>
      <c r="L379" s="11"/>
      <c r="M379" s="11"/>
      <c r="N379" s="11"/>
      <c r="O379" s="11"/>
      <c r="P379" s="11"/>
      <c r="Q379" s="11"/>
    </row>
    <row r="380" spans="1:17" x14ac:dyDescent="0.25">
      <c r="A380" s="8" t="str" cm="1">
        <f t="array" aca="1" ref="A380" ca="1">IF(INDIRECT("'Student_Record 1'!A" &amp; ROW())="", "", INDIRECT("'Student_Record 1'!A" &amp; ROW()))</f>
        <v/>
      </c>
      <c r="B380" s="8" t="str" cm="1">
        <f t="array" aca="1" ref="B380" ca="1">IF(INDIRECT("'Student_Record 1'!C" &amp; ROW())="", "", INDIRECT("'Student_Record 1'!C" &amp; ROW()))</f>
        <v/>
      </c>
      <c r="C380" s="8" t="str" cm="1">
        <f t="array" aca="1" ref="C380" ca="1">IF(INDIRECT("'Student_Record 1'!E" &amp; ROW())="", "", INDIRECT("'Student_Record 1'!E" &amp; ROW()))</f>
        <v/>
      </c>
      <c r="D380" s="8" t="str" cm="1">
        <f t="array" aca="1" ref="D380" ca="1">IF(INDIRECT("'Student_Record 1'!G" &amp; ROW())="", "", INDIRECT("'Student_Record 1'!G" &amp; ROW()))</f>
        <v/>
      </c>
      <c r="E380" s="8" t="str" cm="1">
        <f t="array" aca="1" ref="E380" ca="1">IF(INDIRECT("'Student_Record 1'!I" &amp; ROW())="", "", INDIRECT("'Student_Record 1'!I" &amp; ROW()))</f>
        <v/>
      </c>
      <c r="F380" s="8" t="str" cm="1">
        <f t="array" aca="1" ref="F380" ca="1">IF(INDIRECT("'Student_Record 1'!O" &amp; ROW())="", "", INDIRECT("'Student_Record 1'!O" &amp; ROW()))</f>
        <v/>
      </c>
      <c r="G380" s="11"/>
      <c r="I380" s="11"/>
      <c r="J380" s="11"/>
      <c r="K380" s="11"/>
      <c r="L380" s="11"/>
      <c r="M380" s="11"/>
      <c r="N380" s="11"/>
      <c r="O380" s="11"/>
      <c r="P380" s="11"/>
      <c r="Q380" s="11"/>
    </row>
    <row r="381" spans="1:17" x14ac:dyDescent="0.25">
      <c r="A381" s="8" t="str" cm="1">
        <f t="array" aca="1" ref="A381" ca="1">IF(INDIRECT("'Student_Record 1'!A" &amp; ROW())="", "", INDIRECT("'Student_Record 1'!A" &amp; ROW()))</f>
        <v/>
      </c>
      <c r="B381" s="8" t="str" cm="1">
        <f t="array" aca="1" ref="B381" ca="1">IF(INDIRECT("'Student_Record 1'!C" &amp; ROW())="", "", INDIRECT("'Student_Record 1'!C" &amp; ROW()))</f>
        <v/>
      </c>
      <c r="C381" s="8" t="str" cm="1">
        <f t="array" aca="1" ref="C381" ca="1">IF(INDIRECT("'Student_Record 1'!E" &amp; ROW())="", "", INDIRECT("'Student_Record 1'!E" &amp; ROW()))</f>
        <v/>
      </c>
      <c r="D381" s="8" t="str" cm="1">
        <f t="array" aca="1" ref="D381" ca="1">IF(INDIRECT("'Student_Record 1'!G" &amp; ROW())="", "", INDIRECT("'Student_Record 1'!G" &amp; ROW()))</f>
        <v/>
      </c>
      <c r="E381" s="8" t="str" cm="1">
        <f t="array" aca="1" ref="E381" ca="1">IF(INDIRECT("'Student_Record 1'!I" &amp; ROW())="", "", INDIRECT("'Student_Record 1'!I" &amp; ROW()))</f>
        <v/>
      </c>
      <c r="F381" s="8" t="str" cm="1">
        <f t="array" aca="1" ref="F381" ca="1">IF(INDIRECT("'Student_Record 1'!O" &amp; ROW())="", "", INDIRECT("'Student_Record 1'!O" &amp; ROW()))</f>
        <v/>
      </c>
      <c r="G381" s="11"/>
      <c r="I381" s="11"/>
      <c r="J381" s="11"/>
      <c r="K381" s="11"/>
      <c r="L381" s="11"/>
      <c r="M381" s="11"/>
      <c r="N381" s="11"/>
      <c r="O381" s="11"/>
      <c r="P381" s="11"/>
      <c r="Q381" s="11"/>
    </row>
    <row r="382" spans="1:17" x14ac:dyDescent="0.25">
      <c r="A382" s="8" t="str" cm="1">
        <f t="array" aca="1" ref="A382" ca="1">IF(INDIRECT("'Student_Record 1'!A" &amp; ROW())="", "", INDIRECT("'Student_Record 1'!A" &amp; ROW()))</f>
        <v/>
      </c>
      <c r="B382" s="8" t="str" cm="1">
        <f t="array" aca="1" ref="B382" ca="1">IF(INDIRECT("'Student_Record 1'!C" &amp; ROW())="", "", INDIRECT("'Student_Record 1'!C" &amp; ROW()))</f>
        <v/>
      </c>
      <c r="C382" s="8" t="str" cm="1">
        <f t="array" aca="1" ref="C382" ca="1">IF(INDIRECT("'Student_Record 1'!E" &amp; ROW())="", "", INDIRECT("'Student_Record 1'!E" &amp; ROW()))</f>
        <v/>
      </c>
      <c r="D382" s="8" t="str" cm="1">
        <f t="array" aca="1" ref="D382" ca="1">IF(INDIRECT("'Student_Record 1'!G" &amp; ROW())="", "", INDIRECT("'Student_Record 1'!G" &amp; ROW()))</f>
        <v/>
      </c>
      <c r="E382" s="8" t="str" cm="1">
        <f t="array" aca="1" ref="E382" ca="1">IF(INDIRECT("'Student_Record 1'!I" &amp; ROW())="", "", INDIRECT("'Student_Record 1'!I" &amp; ROW()))</f>
        <v/>
      </c>
      <c r="F382" s="8" t="str" cm="1">
        <f t="array" aca="1" ref="F382" ca="1">IF(INDIRECT("'Student_Record 1'!O" &amp; ROW())="", "", INDIRECT("'Student_Record 1'!O" &amp; ROW()))</f>
        <v/>
      </c>
      <c r="G382" s="11"/>
      <c r="I382" s="11"/>
      <c r="J382" s="11"/>
      <c r="K382" s="11"/>
      <c r="L382" s="11"/>
      <c r="M382" s="11"/>
      <c r="N382" s="11"/>
      <c r="O382" s="11"/>
      <c r="P382" s="11"/>
      <c r="Q382" s="11"/>
    </row>
    <row r="383" spans="1:17" x14ac:dyDescent="0.25">
      <c r="A383" s="8" t="str" cm="1">
        <f t="array" aca="1" ref="A383" ca="1">IF(INDIRECT("'Student_Record 1'!A" &amp; ROW())="", "", INDIRECT("'Student_Record 1'!A" &amp; ROW()))</f>
        <v/>
      </c>
      <c r="B383" s="8" t="str" cm="1">
        <f t="array" aca="1" ref="B383" ca="1">IF(INDIRECT("'Student_Record 1'!C" &amp; ROW())="", "", INDIRECT("'Student_Record 1'!C" &amp; ROW()))</f>
        <v/>
      </c>
      <c r="C383" s="8" t="str" cm="1">
        <f t="array" aca="1" ref="C383" ca="1">IF(INDIRECT("'Student_Record 1'!E" &amp; ROW())="", "", INDIRECT("'Student_Record 1'!E" &amp; ROW()))</f>
        <v/>
      </c>
      <c r="D383" s="8" t="str" cm="1">
        <f t="array" aca="1" ref="D383" ca="1">IF(INDIRECT("'Student_Record 1'!G" &amp; ROW())="", "", INDIRECT("'Student_Record 1'!G" &amp; ROW()))</f>
        <v/>
      </c>
      <c r="E383" s="8" t="str" cm="1">
        <f t="array" aca="1" ref="E383" ca="1">IF(INDIRECT("'Student_Record 1'!I" &amp; ROW())="", "", INDIRECT("'Student_Record 1'!I" &amp; ROW()))</f>
        <v/>
      </c>
      <c r="F383" s="8" t="str" cm="1">
        <f t="array" aca="1" ref="F383" ca="1">IF(INDIRECT("'Student_Record 1'!O" &amp; ROW())="", "", INDIRECT("'Student_Record 1'!O" &amp; ROW()))</f>
        <v/>
      </c>
      <c r="G383" s="11"/>
      <c r="I383" s="11"/>
      <c r="J383" s="11"/>
      <c r="K383" s="11"/>
      <c r="L383" s="11"/>
      <c r="M383" s="11"/>
      <c r="N383" s="11"/>
      <c r="O383" s="11"/>
      <c r="P383" s="11"/>
      <c r="Q383" s="11"/>
    </row>
    <row r="384" spans="1:17" x14ac:dyDescent="0.25">
      <c r="A384" s="8" t="str" cm="1">
        <f t="array" aca="1" ref="A384" ca="1">IF(INDIRECT("'Student_Record 1'!A" &amp; ROW())="", "", INDIRECT("'Student_Record 1'!A" &amp; ROW()))</f>
        <v/>
      </c>
      <c r="B384" s="8" t="str" cm="1">
        <f t="array" aca="1" ref="B384" ca="1">IF(INDIRECT("'Student_Record 1'!C" &amp; ROW())="", "", INDIRECT("'Student_Record 1'!C" &amp; ROW()))</f>
        <v/>
      </c>
      <c r="C384" s="8" t="str" cm="1">
        <f t="array" aca="1" ref="C384" ca="1">IF(INDIRECT("'Student_Record 1'!E" &amp; ROW())="", "", INDIRECT("'Student_Record 1'!E" &amp; ROW()))</f>
        <v/>
      </c>
      <c r="D384" s="8" t="str" cm="1">
        <f t="array" aca="1" ref="D384" ca="1">IF(INDIRECT("'Student_Record 1'!G" &amp; ROW())="", "", INDIRECT("'Student_Record 1'!G" &amp; ROW()))</f>
        <v/>
      </c>
      <c r="E384" s="8" t="str" cm="1">
        <f t="array" aca="1" ref="E384" ca="1">IF(INDIRECT("'Student_Record 1'!I" &amp; ROW())="", "", INDIRECT("'Student_Record 1'!I" &amp; ROW()))</f>
        <v/>
      </c>
      <c r="F384" s="8" t="str" cm="1">
        <f t="array" aca="1" ref="F384" ca="1">IF(INDIRECT("'Student_Record 1'!O" &amp; ROW())="", "", INDIRECT("'Student_Record 1'!O" &amp; ROW()))</f>
        <v/>
      </c>
      <c r="G384" s="11"/>
      <c r="I384" s="11"/>
      <c r="J384" s="11"/>
      <c r="K384" s="11"/>
      <c r="L384" s="11"/>
      <c r="M384" s="11"/>
      <c r="N384" s="11"/>
      <c r="O384" s="11"/>
      <c r="P384" s="11"/>
      <c r="Q384" s="11"/>
    </row>
    <row r="385" spans="1:17" x14ac:dyDescent="0.25">
      <c r="A385" s="8" t="str" cm="1">
        <f t="array" aca="1" ref="A385" ca="1">IF(INDIRECT("'Student_Record 1'!A" &amp; ROW())="", "", INDIRECT("'Student_Record 1'!A" &amp; ROW()))</f>
        <v/>
      </c>
      <c r="B385" s="8" t="str" cm="1">
        <f t="array" aca="1" ref="B385" ca="1">IF(INDIRECT("'Student_Record 1'!C" &amp; ROW())="", "", INDIRECT("'Student_Record 1'!C" &amp; ROW()))</f>
        <v/>
      </c>
      <c r="C385" s="8" t="str" cm="1">
        <f t="array" aca="1" ref="C385" ca="1">IF(INDIRECT("'Student_Record 1'!E" &amp; ROW())="", "", INDIRECT("'Student_Record 1'!E" &amp; ROW()))</f>
        <v/>
      </c>
      <c r="D385" s="8" t="str" cm="1">
        <f t="array" aca="1" ref="D385" ca="1">IF(INDIRECT("'Student_Record 1'!G" &amp; ROW())="", "", INDIRECT("'Student_Record 1'!G" &amp; ROW()))</f>
        <v/>
      </c>
      <c r="E385" s="8" t="str" cm="1">
        <f t="array" aca="1" ref="E385" ca="1">IF(INDIRECT("'Student_Record 1'!I" &amp; ROW())="", "", INDIRECT("'Student_Record 1'!I" &amp; ROW()))</f>
        <v/>
      </c>
      <c r="F385" s="8" t="str" cm="1">
        <f t="array" aca="1" ref="F385" ca="1">IF(INDIRECT("'Student_Record 1'!O" &amp; ROW())="", "", INDIRECT("'Student_Record 1'!O" &amp; ROW()))</f>
        <v/>
      </c>
      <c r="G385" s="11"/>
      <c r="I385" s="11"/>
      <c r="J385" s="11"/>
      <c r="K385" s="11"/>
      <c r="L385" s="11"/>
      <c r="M385" s="11"/>
      <c r="N385" s="11"/>
      <c r="O385" s="11"/>
      <c r="P385" s="11"/>
      <c r="Q385" s="11"/>
    </row>
    <row r="386" spans="1:17" x14ac:dyDescent="0.25">
      <c r="A386" s="8" t="str" cm="1">
        <f t="array" aca="1" ref="A386" ca="1">IF(INDIRECT("'Student_Record 1'!A" &amp; ROW())="", "", INDIRECT("'Student_Record 1'!A" &amp; ROW()))</f>
        <v/>
      </c>
      <c r="B386" s="8" t="str" cm="1">
        <f t="array" aca="1" ref="B386" ca="1">IF(INDIRECT("'Student_Record 1'!C" &amp; ROW())="", "", INDIRECT("'Student_Record 1'!C" &amp; ROW()))</f>
        <v/>
      </c>
      <c r="C386" s="8" t="str" cm="1">
        <f t="array" aca="1" ref="C386" ca="1">IF(INDIRECT("'Student_Record 1'!E" &amp; ROW())="", "", INDIRECT("'Student_Record 1'!E" &amp; ROW()))</f>
        <v/>
      </c>
      <c r="D386" s="8" t="str" cm="1">
        <f t="array" aca="1" ref="D386" ca="1">IF(INDIRECT("'Student_Record 1'!G" &amp; ROW())="", "", INDIRECT("'Student_Record 1'!G" &amp; ROW()))</f>
        <v/>
      </c>
      <c r="E386" s="8" t="str" cm="1">
        <f t="array" aca="1" ref="E386" ca="1">IF(INDIRECT("'Student_Record 1'!I" &amp; ROW())="", "", INDIRECT("'Student_Record 1'!I" &amp; ROW()))</f>
        <v/>
      </c>
      <c r="F386" s="8" t="str" cm="1">
        <f t="array" aca="1" ref="F386" ca="1">IF(INDIRECT("'Student_Record 1'!O" &amp; ROW())="", "", INDIRECT("'Student_Record 1'!O" &amp; ROW()))</f>
        <v/>
      </c>
      <c r="G386" s="11"/>
      <c r="I386" s="11"/>
      <c r="J386" s="11"/>
      <c r="K386" s="11"/>
      <c r="L386" s="11"/>
      <c r="M386" s="11"/>
      <c r="N386" s="11"/>
      <c r="O386" s="11"/>
      <c r="P386" s="11"/>
      <c r="Q386" s="11"/>
    </row>
    <row r="387" spans="1:17" x14ac:dyDescent="0.25">
      <c r="A387" s="8" t="str" cm="1">
        <f t="array" aca="1" ref="A387" ca="1">IF(INDIRECT("'Student_Record 1'!A" &amp; ROW())="", "", INDIRECT("'Student_Record 1'!A" &amp; ROW()))</f>
        <v/>
      </c>
      <c r="B387" s="8" t="str" cm="1">
        <f t="array" aca="1" ref="B387" ca="1">IF(INDIRECT("'Student_Record 1'!C" &amp; ROW())="", "", INDIRECT("'Student_Record 1'!C" &amp; ROW()))</f>
        <v/>
      </c>
      <c r="C387" s="8" t="str" cm="1">
        <f t="array" aca="1" ref="C387" ca="1">IF(INDIRECT("'Student_Record 1'!E" &amp; ROW())="", "", INDIRECT("'Student_Record 1'!E" &amp; ROW()))</f>
        <v/>
      </c>
      <c r="D387" s="8" t="str" cm="1">
        <f t="array" aca="1" ref="D387" ca="1">IF(INDIRECT("'Student_Record 1'!G" &amp; ROW())="", "", INDIRECT("'Student_Record 1'!G" &amp; ROW()))</f>
        <v/>
      </c>
      <c r="E387" s="8" t="str" cm="1">
        <f t="array" aca="1" ref="E387" ca="1">IF(INDIRECT("'Student_Record 1'!I" &amp; ROW())="", "", INDIRECT("'Student_Record 1'!I" &amp; ROW()))</f>
        <v/>
      </c>
      <c r="F387" s="8" t="str" cm="1">
        <f t="array" aca="1" ref="F387" ca="1">IF(INDIRECT("'Student_Record 1'!O" &amp; ROW())="", "", INDIRECT("'Student_Record 1'!O" &amp; ROW()))</f>
        <v/>
      </c>
      <c r="G387" s="11"/>
      <c r="I387" s="11"/>
      <c r="J387" s="11"/>
      <c r="K387" s="11"/>
      <c r="L387" s="11"/>
      <c r="M387" s="11"/>
      <c r="N387" s="11"/>
      <c r="O387" s="11"/>
      <c r="P387" s="11"/>
      <c r="Q387" s="11"/>
    </row>
    <row r="388" spans="1:17" x14ac:dyDescent="0.25">
      <c r="A388" s="8" t="str" cm="1">
        <f t="array" aca="1" ref="A388" ca="1">IF(INDIRECT("'Student_Record 1'!A" &amp; ROW())="", "", INDIRECT("'Student_Record 1'!A" &amp; ROW()))</f>
        <v/>
      </c>
      <c r="B388" s="8" t="str" cm="1">
        <f t="array" aca="1" ref="B388" ca="1">IF(INDIRECT("'Student_Record 1'!C" &amp; ROW())="", "", INDIRECT("'Student_Record 1'!C" &amp; ROW()))</f>
        <v/>
      </c>
      <c r="C388" s="8" t="str" cm="1">
        <f t="array" aca="1" ref="C388" ca="1">IF(INDIRECT("'Student_Record 1'!E" &amp; ROW())="", "", INDIRECT("'Student_Record 1'!E" &amp; ROW()))</f>
        <v/>
      </c>
      <c r="D388" s="8" t="str" cm="1">
        <f t="array" aca="1" ref="D388" ca="1">IF(INDIRECT("'Student_Record 1'!G" &amp; ROW())="", "", INDIRECT("'Student_Record 1'!G" &amp; ROW()))</f>
        <v/>
      </c>
      <c r="E388" s="8" t="str" cm="1">
        <f t="array" aca="1" ref="E388" ca="1">IF(INDIRECT("'Student_Record 1'!I" &amp; ROW())="", "", INDIRECT("'Student_Record 1'!I" &amp; ROW()))</f>
        <v/>
      </c>
      <c r="F388" s="8" t="str" cm="1">
        <f t="array" aca="1" ref="F388" ca="1">IF(INDIRECT("'Student_Record 1'!O" &amp; ROW())="", "", INDIRECT("'Student_Record 1'!O" &amp; ROW()))</f>
        <v/>
      </c>
      <c r="G388" s="11"/>
      <c r="I388" s="11"/>
      <c r="J388" s="11"/>
      <c r="K388" s="11"/>
      <c r="L388" s="11"/>
      <c r="M388" s="11"/>
      <c r="N388" s="11"/>
      <c r="O388" s="11"/>
      <c r="P388" s="11"/>
      <c r="Q388" s="11"/>
    </row>
    <row r="389" spans="1:17" x14ac:dyDescent="0.25">
      <c r="A389" s="8" t="str" cm="1">
        <f t="array" aca="1" ref="A389" ca="1">IF(INDIRECT("'Student_Record 1'!A" &amp; ROW())="", "", INDIRECT("'Student_Record 1'!A" &amp; ROW()))</f>
        <v/>
      </c>
      <c r="B389" s="8" t="str" cm="1">
        <f t="array" aca="1" ref="B389" ca="1">IF(INDIRECT("'Student_Record 1'!C" &amp; ROW())="", "", INDIRECT("'Student_Record 1'!C" &amp; ROW()))</f>
        <v/>
      </c>
      <c r="C389" s="8" t="str" cm="1">
        <f t="array" aca="1" ref="C389" ca="1">IF(INDIRECT("'Student_Record 1'!E" &amp; ROW())="", "", INDIRECT("'Student_Record 1'!E" &amp; ROW()))</f>
        <v/>
      </c>
      <c r="D389" s="8" t="str" cm="1">
        <f t="array" aca="1" ref="D389" ca="1">IF(INDIRECT("'Student_Record 1'!G" &amp; ROW())="", "", INDIRECT("'Student_Record 1'!G" &amp; ROW()))</f>
        <v/>
      </c>
      <c r="E389" s="8" t="str" cm="1">
        <f t="array" aca="1" ref="E389" ca="1">IF(INDIRECT("'Student_Record 1'!I" &amp; ROW())="", "", INDIRECT("'Student_Record 1'!I" &amp; ROW()))</f>
        <v/>
      </c>
      <c r="F389" s="8" t="str" cm="1">
        <f t="array" aca="1" ref="F389" ca="1">IF(INDIRECT("'Student_Record 1'!O" &amp; ROW())="", "", INDIRECT("'Student_Record 1'!O" &amp; ROW()))</f>
        <v/>
      </c>
      <c r="G389" s="11"/>
      <c r="I389" s="11"/>
      <c r="J389" s="11"/>
      <c r="K389" s="11"/>
      <c r="L389" s="11"/>
      <c r="M389" s="11"/>
      <c r="N389" s="11"/>
      <c r="O389" s="11"/>
      <c r="P389" s="11"/>
      <c r="Q389" s="11"/>
    </row>
    <row r="390" spans="1:17" x14ac:dyDescent="0.25">
      <c r="A390" s="8" t="str" cm="1">
        <f t="array" aca="1" ref="A390" ca="1">IF(INDIRECT("'Student_Record 1'!A" &amp; ROW())="", "", INDIRECT("'Student_Record 1'!A" &amp; ROW()))</f>
        <v/>
      </c>
      <c r="B390" s="8" t="str" cm="1">
        <f t="array" aca="1" ref="B390" ca="1">IF(INDIRECT("'Student_Record 1'!C" &amp; ROW())="", "", INDIRECT("'Student_Record 1'!C" &amp; ROW()))</f>
        <v/>
      </c>
      <c r="C390" s="8" t="str" cm="1">
        <f t="array" aca="1" ref="C390" ca="1">IF(INDIRECT("'Student_Record 1'!E" &amp; ROW())="", "", INDIRECT("'Student_Record 1'!E" &amp; ROW()))</f>
        <v/>
      </c>
      <c r="D390" s="8" t="str" cm="1">
        <f t="array" aca="1" ref="D390" ca="1">IF(INDIRECT("'Student_Record 1'!G" &amp; ROW())="", "", INDIRECT("'Student_Record 1'!G" &amp; ROW()))</f>
        <v/>
      </c>
      <c r="E390" s="8" t="str" cm="1">
        <f t="array" aca="1" ref="E390" ca="1">IF(INDIRECT("'Student_Record 1'!I" &amp; ROW())="", "", INDIRECT("'Student_Record 1'!I" &amp; ROW()))</f>
        <v/>
      </c>
      <c r="F390" s="8" t="str" cm="1">
        <f t="array" aca="1" ref="F390" ca="1">IF(INDIRECT("'Student_Record 1'!O" &amp; ROW())="", "", INDIRECT("'Student_Record 1'!O" &amp; ROW()))</f>
        <v/>
      </c>
      <c r="G390" s="11"/>
      <c r="I390" s="11"/>
      <c r="J390" s="11"/>
      <c r="K390" s="11"/>
      <c r="L390" s="11"/>
      <c r="M390" s="11"/>
      <c r="N390" s="11"/>
      <c r="O390" s="11"/>
      <c r="P390" s="11"/>
      <c r="Q390" s="11"/>
    </row>
    <row r="391" spans="1:17" x14ac:dyDescent="0.25">
      <c r="A391" s="8" t="str" cm="1">
        <f t="array" aca="1" ref="A391" ca="1">IF(INDIRECT("'Student_Record 1'!A" &amp; ROW())="", "", INDIRECT("'Student_Record 1'!A" &amp; ROW()))</f>
        <v/>
      </c>
      <c r="B391" s="8" t="str" cm="1">
        <f t="array" aca="1" ref="B391" ca="1">IF(INDIRECT("'Student_Record 1'!C" &amp; ROW())="", "", INDIRECT("'Student_Record 1'!C" &amp; ROW()))</f>
        <v/>
      </c>
      <c r="C391" s="8" t="str" cm="1">
        <f t="array" aca="1" ref="C391" ca="1">IF(INDIRECT("'Student_Record 1'!E" &amp; ROW())="", "", INDIRECT("'Student_Record 1'!E" &amp; ROW()))</f>
        <v/>
      </c>
      <c r="D391" s="8" t="str" cm="1">
        <f t="array" aca="1" ref="D391" ca="1">IF(INDIRECT("'Student_Record 1'!G" &amp; ROW())="", "", INDIRECT("'Student_Record 1'!G" &amp; ROW()))</f>
        <v/>
      </c>
      <c r="E391" s="8" t="str" cm="1">
        <f t="array" aca="1" ref="E391" ca="1">IF(INDIRECT("'Student_Record 1'!I" &amp; ROW())="", "", INDIRECT("'Student_Record 1'!I" &amp; ROW()))</f>
        <v/>
      </c>
      <c r="F391" s="8" t="str" cm="1">
        <f t="array" aca="1" ref="F391" ca="1">IF(INDIRECT("'Student_Record 1'!O" &amp; ROW())="", "", INDIRECT("'Student_Record 1'!O" &amp; ROW()))</f>
        <v/>
      </c>
      <c r="G391" s="11"/>
      <c r="I391" s="11"/>
      <c r="J391" s="11"/>
      <c r="K391" s="11"/>
      <c r="L391" s="11"/>
      <c r="M391" s="11"/>
      <c r="N391" s="11"/>
      <c r="O391" s="11"/>
      <c r="P391" s="11"/>
      <c r="Q391" s="11"/>
    </row>
    <row r="392" spans="1:17" x14ac:dyDescent="0.25">
      <c r="A392" s="8" t="str" cm="1">
        <f t="array" aca="1" ref="A392" ca="1">IF(INDIRECT("'Student_Record 1'!A" &amp; ROW())="", "", INDIRECT("'Student_Record 1'!A" &amp; ROW()))</f>
        <v/>
      </c>
      <c r="B392" s="8" t="str" cm="1">
        <f t="array" aca="1" ref="B392" ca="1">IF(INDIRECT("'Student_Record 1'!C" &amp; ROW())="", "", INDIRECT("'Student_Record 1'!C" &amp; ROW()))</f>
        <v/>
      </c>
      <c r="C392" s="8" t="str" cm="1">
        <f t="array" aca="1" ref="C392" ca="1">IF(INDIRECT("'Student_Record 1'!E" &amp; ROW())="", "", INDIRECT("'Student_Record 1'!E" &amp; ROW()))</f>
        <v/>
      </c>
      <c r="D392" s="8" t="str" cm="1">
        <f t="array" aca="1" ref="D392" ca="1">IF(INDIRECT("'Student_Record 1'!G" &amp; ROW())="", "", INDIRECT("'Student_Record 1'!G" &amp; ROW()))</f>
        <v/>
      </c>
      <c r="E392" s="8" t="str" cm="1">
        <f t="array" aca="1" ref="E392" ca="1">IF(INDIRECT("'Student_Record 1'!I" &amp; ROW())="", "", INDIRECT("'Student_Record 1'!I" &amp; ROW()))</f>
        <v/>
      </c>
      <c r="F392" s="8" t="str" cm="1">
        <f t="array" aca="1" ref="F392" ca="1">IF(INDIRECT("'Student_Record 1'!O" &amp; ROW())="", "", INDIRECT("'Student_Record 1'!O" &amp; ROW()))</f>
        <v/>
      </c>
      <c r="G392" s="11"/>
      <c r="I392" s="11"/>
      <c r="J392" s="11"/>
      <c r="K392" s="11"/>
      <c r="L392" s="11"/>
      <c r="M392" s="11"/>
      <c r="N392" s="11"/>
      <c r="O392" s="11"/>
      <c r="P392" s="11"/>
      <c r="Q392" s="11"/>
    </row>
    <row r="393" spans="1:17" x14ac:dyDescent="0.25">
      <c r="A393" s="8" t="str" cm="1">
        <f t="array" aca="1" ref="A393" ca="1">IF(INDIRECT("'Student_Record 1'!A" &amp; ROW())="", "", INDIRECT("'Student_Record 1'!A" &amp; ROW()))</f>
        <v/>
      </c>
      <c r="B393" s="8" t="str" cm="1">
        <f t="array" aca="1" ref="B393" ca="1">IF(INDIRECT("'Student_Record 1'!C" &amp; ROW())="", "", INDIRECT("'Student_Record 1'!C" &amp; ROW()))</f>
        <v/>
      </c>
      <c r="C393" s="8" t="str" cm="1">
        <f t="array" aca="1" ref="C393" ca="1">IF(INDIRECT("'Student_Record 1'!E" &amp; ROW())="", "", INDIRECT("'Student_Record 1'!E" &amp; ROW()))</f>
        <v/>
      </c>
      <c r="D393" s="8" t="str" cm="1">
        <f t="array" aca="1" ref="D393" ca="1">IF(INDIRECT("'Student_Record 1'!G" &amp; ROW())="", "", INDIRECT("'Student_Record 1'!G" &amp; ROW()))</f>
        <v/>
      </c>
      <c r="E393" s="8" t="str" cm="1">
        <f t="array" aca="1" ref="E393" ca="1">IF(INDIRECT("'Student_Record 1'!I" &amp; ROW())="", "", INDIRECT("'Student_Record 1'!I" &amp; ROW()))</f>
        <v/>
      </c>
      <c r="F393" s="8" t="str" cm="1">
        <f t="array" aca="1" ref="F393" ca="1">IF(INDIRECT("'Student_Record 1'!O" &amp; ROW())="", "", INDIRECT("'Student_Record 1'!O" &amp; ROW()))</f>
        <v/>
      </c>
      <c r="G393" s="11"/>
      <c r="I393" s="11"/>
      <c r="J393" s="11"/>
      <c r="K393" s="11"/>
      <c r="L393" s="11"/>
      <c r="M393" s="11"/>
      <c r="N393" s="11"/>
      <c r="O393" s="11"/>
      <c r="P393" s="11"/>
      <c r="Q393" s="11"/>
    </row>
    <row r="394" spans="1:17" x14ac:dyDescent="0.25">
      <c r="A394" s="8" t="str" cm="1">
        <f t="array" aca="1" ref="A394" ca="1">IF(INDIRECT("'Student_Record 1'!A" &amp; ROW())="", "", INDIRECT("'Student_Record 1'!A" &amp; ROW()))</f>
        <v/>
      </c>
      <c r="B394" s="8" t="str" cm="1">
        <f t="array" aca="1" ref="B394" ca="1">IF(INDIRECT("'Student_Record 1'!C" &amp; ROW())="", "", INDIRECT("'Student_Record 1'!C" &amp; ROW()))</f>
        <v/>
      </c>
      <c r="C394" s="8" t="str" cm="1">
        <f t="array" aca="1" ref="C394" ca="1">IF(INDIRECT("'Student_Record 1'!E" &amp; ROW())="", "", INDIRECT("'Student_Record 1'!E" &amp; ROW()))</f>
        <v/>
      </c>
      <c r="D394" s="8" t="str" cm="1">
        <f t="array" aca="1" ref="D394" ca="1">IF(INDIRECT("'Student_Record 1'!G" &amp; ROW())="", "", INDIRECT("'Student_Record 1'!G" &amp; ROW()))</f>
        <v/>
      </c>
      <c r="E394" s="8" t="str" cm="1">
        <f t="array" aca="1" ref="E394" ca="1">IF(INDIRECT("'Student_Record 1'!I" &amp; ROW())="", "", INDIRECT("'Student_Record 1'!I" &amp; ROW()))</f>
        <v/>
      </c>
      <c r="F394" s="8" t="str" cm="1">
        <f t="array" aca="1" ref="F394" ca="1">IF(INDIRECT("'Student_Record 1'!O" &amp; ROW())="", "", INDIRECT("'Student_Record 1'!O" &amp; ROW()))</f>
        <v/>
      </c>
      <c r="G394" s="11"/>
      <c r="I394" s="11"/>
      <c r="J394" s="11"/>
      <c r="K394" s="11"/>
      <c r="L394" s="11"/>
      <c r="M394" s="11"/>
      <c r="N394" s="11"/>
      <c r="O394" s="11"/>
      <c r="P394" s="11"/>
      <c r="Q394" s="11"/>
    </row>
    <row r="395" spans="1:17" x14ac:dyDescent="0.25">
      <c r="A395" s="8" t="str" cm="1">
        <f t="array" aca="1" ref="A395" ca="1">IF(INDIRECT("'Student_Record 1'!A" &amp; ROW())="", "", INDIRECT("'Student_Record 1'!A" &amp; ROW()))</f>
        <v/>
      </c>
      <c r="B395" s="8" t="str" cm="1">
        <f t="array" aca="1" ref="B395" ca="1">IF(INDIRECT("'Student_Record 1'!C" &amp; ROW())="", "", INDIRECT("'Student_Record 1'!C" &amp; ROW()))</f>
        <v/>
      </c>
      <c r="C395" s="8" t="str" cm="1">
        <f t="array" aca="1" ref="C395" ca="1">IF(INDIRECT("'Student_Record 1'!E" &amp; ROW())="", "", INDIRECT("'Student_Record 1'!E" &amp; ROW()))</f>
        <v/>
      </c>
      <c r="D395" s="8" t="str" cm="1">
        <f t="array" aca="1" ref="D395" ca="1">IF(INDIRECT("'Student_Record 1'!G" &amp; ROW())="", "", INDIRECT("'Student_Record 1'!G" &amp; ROW()))</f>
        <v/>
      </c>
      <c r="E395" s="8" t="str" cm="1">
        <f t="array" aca="1" ref="E395" ca="1">IF(INDIRECT("'Student_Record 1'!I" &amp; ROW())="", "", INDIRECT("'Student_Record 1'!I" &amp; ROW()))</f>
        <v/>
      </c>
      <c r="F395" s="8" t="str" cm="1">
        <f t="array" aca="1" ref="F395" ca="1">IF(INDIRECT("'Student_Record 1'!O" &amp; ROW())="", "", INDIRECT("'Student_Record 1'!O" &amp; ROW()))</f>
        <v/>
      </c>
      <c r="G395" s="11"/>
      <c r="I395" s="11"/>
      <c r="J395" s="11"/>
      <c r="K395" s="11"/>
      <c r="L395" s="11"/>
      <c r="M395" s="11"/>
      <c r="N395" s="11"/>
      <c r="O395" s="11"/>
      <c r="P395" s="11"/>
      <c r="Q395" s="11"/>
    </row>
    <row r="396" spans="1:17" x14ac:dyDescent="0.25">
      <c r="A396" s="8" t="str" cm="1">
        <f t="array" aca="1" ref="A396" ca="1">IF(INDIRECT("'Student_Record 1'!A" &amp; ROW())="", "", INDIRECT("'Student_Record 1'!A" &amp; ROW()))</f>
        <v/>
      </c>
      <c r="B396" s="8" t="str" cm="1">
        <f t="array" aca="1" ref="B396" ca="1">IF(INDIRECT("'Student_Record 1'!C" &amp; ROW())="", "", INDIRECT("'Student_Record 1'!C" &amp; ROW()))</f>
        <v/>
      </c>
      <c r="C396" s="8" t="str" cm="1">
        <f t="array" aca="1" ref="C396" ca="1">IF(INDIRECT("'Student_Record 1'!E" &amp; ROW())="", "", INDIRECT("'Student_Record 1'!E" &amp; ROW()))</f>
        <v/>
      </c>
      <c r="D396" s="8" t="str" cm="1">
        <f t="array" aca="1" ref="D396" ca="1">IF(INDIRECT("'Student_Record 1'!G" &amp; ROW())="", "", INDIRECT("'Student_Record 1'!G" &amp; ROW()))</f>
        <v/>
      </c>
      <c r="E396" s="8" t="str" cm="1">
        <f t="array" aca="1" ref="E396" ca="1">IF(INDIRECT("'Student_Record 1'!I" &amp; ROW())="", "", INDIRECT("'Student_Record 1'!I" &amp; ROW()))</f>
        <v/>
      </c>
      <c r="F396" s="8" t="str" cm="1">
        <f t="array" aca="1" ref="F396" ca="1">IF(INDIRECT("'Student_Record 1'!O" &amp; ROW())="", "", INDIRECT("'Student_Record 1'!O" &amp; ROW()))</f>
        <v/>
      </c>
      <c r="G396" s="11"/>
      <c r="I396" s="11"/>
      <c r="J396" s="11"/>
      <c r="K396" s="11"/>
      <c r="L396" s="11"/>
      <c r="M396" s="11"/>
      <c r="N396" s="11"/>
      <c r="O396" s="11"/>
      <c r="P396" s="11"/>
      <c r="Q396" s="11"/>
    </row>
    <row r="397" spans="1:17" x14ac:dyDescent="0.25">
      <c r="A397" s="8" t="str" cm="1">
        <f t="array" aca="1" ref="A397" ca="1">IF(INDIRECT("'Student_Record 1'!A" &amp; ROW())="", "", INDIRECT("'Student_Record 1'!A" &amp; ROW()))</f>
        <v/>
      </c>
      <c r="B397" s="8" t="str" cm="1">
        <f t="array" aca="1" ref="B397" ca="1">IF(INDIRECT("'Student_Record 1'!C" &amp; ROW())="", "", INDIRECT("'Student_Record 1'!C" &amp; ROW()))</f>
        <v/>
      </c>
      <c r="C397" s="8" t="str" cm="1">
        <f t="array" aca="1" ref="C397" ca="1">IF(INDIRECT("'Student_Record 1'!E" &amp; ROW())="", "", INDIRECT("'Student_Record 1'!E" &amp; ROW()))</f>
        <v/>
      </c>
      <c r="D397" s="8" t="str" cm="1">
        <f t="array" aca="1" ref="D397" ca="1">IF(INDIRECT("'Student_Record 1'!G" &amp; ROW())="", "", INDIRECT("'Student_Record 1'!G" &amp; ROW()))</f>
        <v/>
      </c>
      <c r="E397" s="8" t="str" cm="1">
        <f t="array" aca="1" ref="E397" ca="1">IF(INDIRECT("'Student_Record 1'!I" &amp; ROW())="", "", INDIRECT("'Student_Record 1'!I" &amp; ROW()))</f>
        <v/>
      </c>
      <c r="F397" s="8" t="str" cm="1">
        <f t="array" aca="1" ref="F397" ca="1">IF(INDIRECT("'Student_Record 1'!O" &amp; ROW())="", "", INDIRECT("'Student_Record 1'!O" &amp; ROW()))</f>
        <v/>
      </c>
      <c r="G397" s="11"/>
      <c r="I397" s="11"/>
      <c r="J397" s="11"/>
      <c r="K397" s="11"/>
      <c r="L397" s="11"/>
      <c r="M397" s="11"/>
      <c r="N397" s="11"/>
      <c r="O397" s="11"/>
      <c r="P397" s="11"/>
      <c r="Q397" s="11"/>
    </row>
    <row r="398" spans="1:17" x14ac:dyDescent="0.25">
      <c r="A398" s="8" t="str" cm="1">
        <f t="array" aca="1" ref="A398" ca="1">IF(INDIRECT("'Student_Record 1'!A" &amp; ROW())="", "", INDIRECT("'Student_Record 1'!A" &amp; ROW()))</f>
        <v/>
      </c>
      <c r="B398" s="8" t="str" cm="1">
        <f t="array" aca="1" ref="B398" ca="1">IF(INDIRECT("'Student_Record 1'!C" &amp; ROW())="", "", INDIRECT("'Student_Record 1'!C" &amp; ROW()))</f>
        <v/>
      </c>
      <c r="C398" s="8" t="str" cm="1">
        <f t="array" aca="1" ref="C398" ca="1">IF(INDIRECT("'Student_Record 1'!E" &amp; ROW())="", "", INDIRECT("'Student_Record 1'!E" &amp; ROW()))</f>
        <v/>
      </c>
      <c r="D398" s="8" t="str" cm="1">
        <f t="array" aca="1" ref="D398" ca="1">IF(INDIRECT("'Student_Record 1'!G" &amp; ROW())="", "", INDIRECT("'Student_Record 1'!G" &amp; ROW()))</f>
        <v/>
      </c>
      <c r="E398" s="8" t="str" cm="1">
        <f t="array" aca="1" ref="E398" ca="1">IF(INDIRECT("'Student_Record 1'!I" &amp; ROW())="", "", INDIRECT("'Student_Record 1'!I" &amp; ROW()))</f>
        <v/>
      </c>
      <c r="F398" s="8" t="str" cm="1">
        <f t="array" aca="1" ref="F398" ca="1">IF(INDIRECT("'Student_Record 1'!O" &amp; ROW())="", "", INDIRECT("'Student_Record 1'!O" &amp; ROW()))</f>
        <v/>
      </c>
      <c r="G398" s="11"/>
      <c r="I398" s="11"/>
      <c r="J398" s="11"/>
      <c r="K398" s="11"/>
      <c r="L398" s="11"/>
      <c r="M398" s="11"/>
      <c r="N398" s="11"/>
      <c r="O398" s="11"/>
      <c r="P398" s="11"/>
      <c r="Q398" s="11"/>
    </row>
    <row r="399" spans="1:17" x14ac:dyDescent="0.25">
      <c r="A399" s="8" t="str" cm="1">
        <f t="array" aca="1" ref="A399" ca="1">IF(INDIRECT("'Student_Record 1'!A" &amp; ROW())="", "", INDIRECT("'Student_Record 1'!A" &amp; ROW()))</f>
        <v/>
      </c>
      <c r="B399" s="8" t="str" cm="1">
        <f t="array" aca="1" ref="B399" ca="1">IF(INDIRECT("'Student_Record 1'!C" &amp; ROW())="", "", INDIRECT("'Student_Record 1'!C" &amp; ROW()))</f>
        <v/>
      </c>
      <c r="C399" s="8" t="str" cm="1">
        <f t="array" aca="1" ref="C399" ca="1">IF(INDIRECT("'Student_Record 1'!E" &amp; ROW())="", "", INDIRECT("'Student_Record 1'!E" &amp; ROW()))</f>
        <v/>
      </c>
      <c r="D399" s="8" t="str" cm="1">
        <f t="array" aca="1" ref="D399" ca="1">IF(INDIRECT("'Student_Record 1'!G" &amp; ROW())="", "", INDIRECT("'Student_Record 1'!G" &amp; ROW()))</f>
        <v/>
      </c>
      <c r="E399" s="8" t="str" cm="1">
        <f t="array" aca="1" ref="E399" ca="1">IF(INDIRECT("'Student_Record 1'!I" &amp; ROW())="", "", INDIRECT("'Student_Record 1'!I" &amp; ROW()))</f>
        <v/>
      </c>
      <c r="F399" s="8" t="str" cm="1">
        <f t="array" aca="1" ref="F399" ca="1">IF(INDIRECT("'Student_Record 1'!O" &amp; ROW())="", "", INDIRECT("'Student_Record 1'!O" &amp; ROW()))</f>
        <v/>
      </c>
      <c r="G399" s="11"/>
      <c r="I399" s="11"/>
      <c r="J399" s="11"/>
      <c r="K399" s="11"/>
      <c r="L399" s="11"/>
      <c r="M399" s="11"/>
      <c r="N399" s="11"/>
      <c r="O399" s="11"/>
      <c r="P399" s="11"/>
      <c r="Q399" s="11"/>
    </row>
    <row r="400" spans="1:17" x14ac:dyDescent="0.25">
      <c r="A400" s="8" t="str" cm="1">
        <f t="array" aca="1" ref="A400" ca="1">IF(INDIRECT("'Student_Record 1'!A" &amp; ROW())="", "", INDIRECT("'Student_Record 1'!A" &amp; ROW()))</f>
        <v/>
      </c>
      <c r="B400" s="8" t="str" cm="1">
        <f t="array" aca="1" ref="B400" ca="1">IF(INDIRECT("'Student_Record 1'!C" &amp; ROW())="", "", INDIRECT("'Student_Record 1'!C" &amp; ROW()))</f>
        <v/>
      </c>
      <c r="C400" s="8" t="str" cm="1">
        <f t="array" aca="1" ref="C400" ca="1">IF(INDIRECT("'Student_Record 1'!E" &amp; ROW())="", "", INDIRECT("'Student_Record 1'!E" &amp; ROW()))</f>
        <v/>
      </c>
      <c r="D400" s="8" t="str" cm="1">
        <f t="array" aca="1" ref="D400" ca="1">IF(INDIRECT("'Student_Record 1'!G" &amp; ROW())="", "", INDIRECT("'Student_Record 1'!G" &amp; ROW()))</f>
        <v/>
      </c>
      <c r="E400" s="8" t="str" cm="1">
        <f t="array" aca="1" ref="E400" ca="1">IF(INDIRECT("'Student_Record 1'!I" &amp; ROW())="", "", INDIRECT("'Student_Record 1'!I" &amp; ROW()))</f>
        <v/>
      </c>
      <c r="F400" s="8" t="str" cm="1">
        <f t="array" aca="1" ref="F400" ca="1">IF(INDIRECT("'Student_Record 1'!O" &amp; ROW())="", "", INDIRECT("'Student_Record 1'!O" &amp; ROW()))</f>
        <v/>
      </c>
      <c r="G400" s="11"/>
      <c r="I400" s="11"/>
      <c r="J400" s="11"/>
      <c r="K400" s="11"/>
      <c r="L400" s="11"/>
      <c r="M400" s="11"/>
      <c r="N400" s="11"/>
      <c r="O400" s="11"/>
      <c r="P400" s="11"/>
      <c r="Q400" s="11"/>
    </row>
    <row r="401" spans="1:17" x14ac:dyDescent="0.25">
      <c r="A401" s="8" t="str" cm="1">
        <f t="array" aca="1" ref="A401" ca="1">IF(INDIRECT("'Student_Record 1'!A" &amp; ROW())="", "", INDIRECT("'Student_Record 1'!A" &amp; ROW()))</f>
        <v/>
      </c>
      <c r="B401" s="8" t="str" cm="1">
        <f t="array" aca="1" ref="B401" ca="1">IF(INDIRECT("'Student_Record 1'!C" &amp; ROW())="", "", INDIRECT("'Student_Record 1'!C" &amp; ROW()))</f>
        <v/>
      </c>
      <c r="C401" s="8" t="str" cm="1">
        <f t="array" aca="1" ref="C401" ca="1">IF(INDIRECT("'Student_Record 1'!E" &amp; ROW())="", "", INDIRECT("'Student_Record 1'!E" &amp; ROW()))</f>
        <v/>
      </c>
      <c r="D401" s="8" t="str" cm="1">
        <f t="array" aca="1" ref="D401" ca="1">IF(INDIRECT("'Student_Record 1'!G" &amp; ROW())="", "", INDIRECT("'Student_Record 1'!G" &amp; ROW()))</f>
        <v/>
      </c>
      <c r="E401" s="8" t="str" cm="1">
        <f t="array" aca="1" ref="E401" ca="1">IF(INDIRECT("'Student_Record 1'!I" &amp; ROW())="", "", INDIRECT("'Student_Record 1'!I" &amp; ROW()))</f>
        <v/>
      </c>
      <c r="F401" s="8" t="str" cm="1">
        <f t="array" aca="1" ref="F401" ca="1">IF(INDIRECT("'Student_Record 1'!O" &amp; ROW())="", "", INDIRECT("'Student_Record 1'!O" &amp; ROW()))</f>
        <v/>
      </c>
      <c r="G401" s="11"/>
      <c r="I401" s="11"/>
      <c r="J401" s="11"/>
      <c r="K401" s="11"/>
      <c r="L401" s="11"/>
      <c r="M401" s="11"/>
      <c r="N401" s="11"/>
      <c r="O401" s="11"/>
      <c r="P401" s="11"/>
      <c r="Q401" s="11"/>
    </row>
    <row r="402" spans="1:17" x14ac:dyDescent="0.25">
      <c r="A402" s="8" t="str" cm="1">
        <f t="array" aca="1" ref="A402" ca="1">IF(INDIRECT("'Student_Record 1'!A" &amp; ROW())="", "", INDIRECT("'Student_Record 1'!A" &amp; ROW()))</f>
        <v/>
      </c>
      <c r="B402" s="8" t="str" cm="1">
        <f t="array" aca="1" ref="B402" ca="1">IF(INDIRECT("'Student_Record 1'!C" &amp; ROW())="", "", INDIRECT("'Student_Record 1'!C" &amp; ROW()))</f>
        <v/>
      </c>
      <c r="C402" s="8" t="str" cm="1">
        <f t="array" aca="1" ref="C402" ca="1">IF(INDIRECT("'Student_Record 1'!E" &amp; ROW())="", "", INDIRECT("'Student_Record 1'!E" &amp; ROW()))</f>
        <v/>
      </c>
      <c r="D402" s="8" t="str" cm="1">
        <f t="array" aca="1" ref="D402" ca="1">IF(INDIRECT("'Student_Record 1'!G" &amp; ROW())="", "", INDIRECT("'Student_Record 1'!G" &amp; ROW()))</f>
        <v/>
      </c>
      <c r="E402" s="8" t="str" cm="1">
        <f t="array" aca="1" ref="E402" ca="1">IF(INDIRECT("'Student_Record 1'!I" &amp; ROW())="", "", INDIRECT("'Student_Record 1'!I" &amp; ROW()))</f>
        <v/>
      </c>
      <c r="F402" s="8" t="str" cm="1">
        <f t="array" aca="1" ref="F402" ca="1">IF(INDIRECT("'Student_Record 1'!O" &amp; ROW())="", "", INDIRECT("'Student_Record 1'!O" &amp; ROW()))</f>
        <v/>
      </c>
      <c r="G402" s="11"/>
      <c r="I402" s="11"/>
      <c r="J402" s="11"/>
      <c r="K402" s="11"/>
      <c r="L402" s="11"/>
      <c r="M402" s="11"/>
      <c r="N402" s="11"/>
      <c r="O402" s="11"/>
      <c r="P402" s="11"/>
      <c r="Q402" s="11"/>
    </row>
    <row r="403" spans="1:17" x14ac:dyDescent="0.25">
      <c r="A403" s="8" t="str" cm="1">
        <f t="array" aca="1" ref="A403" ca="1">IF(INDIRECT("'Student_Record 1'!A" &amp; ROW())="", "", INDIRECT("'Student_Record 1'!A" &amp; ROW()))</f>
        <v/>
      </c>
      <c r="B403" s="8" t="str" cm="1">
        <f t="array" aca="1" ref="B403" ca="1">IF(INDIRECT("'Student_Record 1'!C" &amp; ROW())="", "", INDIRECT("'Student_Record 1'!C" &amp; ROW()))</f>
        <v/>
      </c>
      <c r="C403" s="8" t="str" cm="1">
        <f t="array" aca="1" ref="C403" ca="1">IF(INDIRECT("'Student_Record 1'!E" &amp; ROW())="", "", INDIRECT("'Student_Record 1'!E" &amp; ROW()))</f>
        <v/>
      </c>
      <c r="D403" s="8" t="str" cm="1">
        <f t="array" aca="1" ref="D403" ca="1">IF(INDIRECT("'Student_Record 1'!G" &amp; ROW())="", "", INDIRECT("'Student_Record 1'!G" &amp; ROW()))</f>
        <v/>
      </c>
      <c r="E403" s="8" t="str" cm="1">
        <f t="array" aca="1" ref="E403" ca="1">IF(INDIRECT("'Student_Record 1'!I" &amp; ROW())="", "", INDIRECT("'Student_Record 1'!I" &amp; ROW()))</f>
        <v/>
      </c>
      <c r="F403" s="8" t="str" cm="1">
        <f t="array" aca="1" ref="F403" ca="1">IF(INDIRECT("'Student_Record 1'!O" &amp; ROW())="", "", INDIRECT("'Student_Record 1'!O" &amp; ROW()))</f>
        <v/>
      </c>
      <c r="G403" s="11"/>
      <c r="I403" s="11"/>
      <c r="J403" s="11"/>
      <c r="K403" s="11"/>
      <c r="L403" s="11"/>
      <c r="M403" s="11"/>
      <c r="N403" s="11"/>
      <c r="O403" s="11"/>
      <c r="P403" s="11"/>
      <c r="Q403" s="11"/>
    </row>
    <row r="404" spans="1:17" x14ac:dyDescent="0.25">
      <c r="A404" s="8" t="str" cm="1">
        <f t="array" aca="1" ref="A404" ca="1">IF(INDIRECT("'Student_Record 1'!A" &amp; ROW())="", "", INDIRECT("'Student_Record 1'!A" &amp; ROW()))</f>
        <v/>
      </c>
      <c r="B404" s="8" t="str" cm="1">
        <f t="array" aca="1" ref="B404" ca="1">IF(INDIRECT("'Student_Record 1'!C" &amp; ROW())="", "", INDIRECT("'Student_Record 1'!C" &amp; ROW()))</f>
        <v/>
      </c>
      <c r="C404" s="8" t="str" cm="1">
        <f t="array" aca="1" ref="C404" ca="1">IF(INDIRECT("'Student_Record 1'!E" &amp; ROW())="", "", INDIRECT("'Student_Record 1'!E" &amp; ROW()))</f>
        <v/>
      </c>
      <c r="D404" s="8" t="str" cm="1">
        <f t="array" aca="1" ref="D404" ca="1">IF(INDIRECT("'Student_Record 1'!G" &amp; ROW())="", "", INDIRECT("'Student_Record 1'!G" &amp; ROW()))</f>
        <v/>
      </c>
      <c r="E404" s="8" t="str" cm="1">
        <f t="array" aca="1" ref="E404" ca="1">IF(INDIRECT("'Student_Record 1'!I" &amp; ROW())="", "", INDIRECT("'Student_Record 1'!I" &amp; ROW()))</f>
        <v/>
      </c>
      <c r="F404" s="8" t="str" cm="1">
        <f t="array" aca="1" ref="F404" ca="1">IF(INDIRECT("'Student_Record 1'!O" &amp; ROW())="", "", INDIRECT("'Student_Record 1'!O" &amp; ROW()))</f>
        <v/>
      </c>
      <c r="G404" s="11"/>
      <c r="I404" s="11"/>
      <c r="J404" s="11"/>
      <c r="K404" s="11"/>
      <c r="L404" s="11"/>
      <c r="M404" s="11"/>
      <c r="N404" s="11"/>
      <c r="O404" s="11"/>
      <c r="P404" s="11"/>
      <c r="Q404" s="11"/>
    </row>
    <row r="405" spans="1:17" x14ac:dyDescent="0.25">
      <c r="A405" s="8" t="str" cm="1">
        <f t="array" aca="1" ref="A405" ca="1">IF(INDIRECT("'Student_Record 1'!A" &amp; ROW())="", "", INDIRECT("'Student_Record 1'!A" &amp; ROW()))</f>
        <v/>
      </c>
      <c r="B405" s="8" t="str" cm="1">
        <f t="array" aca="1" ref="B405" ca="1">IF(INDIRECT("'Student_Record 1'!C" &amp; ROW())="", "", INDIRECT("'Student_Record 1'!C" &amp; ROW()))</f>
        <v/>
      </c>
      <c r="C405" s="8" t="str" cm="1">
        <f t="array" aca="1" ref="C405" ca="1">IF(INDIRECT("'Student_Record 1'!E" &amp; ROW())="", "", INDIRECT("'Student_Record 1'!E" &amp; ROW()))</f>
        <v/>
      </c>
      <c r="D405" s="8" t="str" cm="1">
        <f t="array" aca="1" ref="D405" ca="1">IF(INDIRECT("'Student_Record 1'!G" &amp; ROW())="", "", INDIRECT("'Student_Record 1'!G" &amp; ROW()))</f>
        <v/>
      </c>
      <c r="E405" s="8" t="str" cm="1">
        <f t="array" aca="1" ref="E405" ca="1">IF(INDIRECT("'Student_Record 1'!I" &amp; ROW())="", "", INDIRECT("'Student_Record 1'!I" &amp; ROW()))</f>
        <v/>
      </c>
      <c r="F405" s="8" t="str" cm="1">
        <f t="array" aca="1" ref="F405" ca="1">IF(INDIRECT("'Student_Record 1'!O" &amp; ROW())="", "", INDIRECT("'Student_Record 1'!O" &amp; ROW()))</f>
        <v/>
      </c>
      <c r="G405" s="11"/>
      <c r="I405" s="11"/>
      <c r="J405" s="11"/>
      <c r="K405" s="11"/>
      <c r="L405" s="11"/>
      <c r="M405" s="11"/>
      <c r="N405" s="11"/>
      <c r="O405" s="11"/>
      <c r="P405" s="11"/>
      <c r="Q405" s="11"/>
    </row>
    <row r="406" spans="1:17" x14ac:dyDescent="0.25">
      <c r="A406" s="8" t="str" cm="1">
        <f t="array" aca="1" ref="A406" ca="1">IF(INDIRECT("'Student_Record 1'!A" &amp; ROW())="", "", INDIRECT("'Student_Record 1'!A" &amp; ROW()))</f>
        <v/>
      </c>
      <c r="B406" s="8" t="str" cm="1">
        <f t="array" aca="1" ref="B406" ca="1">IF(INDIRECT("'Student_Record 1'!C" &amp; ROW())="", "", INDIRECT("'Student_Record 1'!C" &amp; ROW()))</f>
        <v/>
      </c>
      <c r="C406" s="8" t="str" cm="1">
        <f t="array" aca="1" ref="C406" ca="1">IF(INDIRECT("'Student_Record 1'!E" &amp; ROW())="", "", INDIRECT("'Student_Record 1'!E" &amp; ROW()))</f>
        <v/>
      </c>
      <c r="D406" s="8" t="str" cm="1">
        <f t="array" aca="1" ref="D406" ca="1">IF(INDIRECT("'Student_Record 1'!G" &amp; ROW())="", "", INDIRECT("'Student_Record 1'!G" &amp; ROW()))</f>
        <v/>
      </c>
      <c r="E406" s="8" t="str" cm="1">
        <f t="array" aca="1" ref="E406" ca="1">IF(INDIRECT("'Student_Record 1'!I" &amp; ROW())="", "", INDIRECT("'Student_Record 1'!I" &amp; ROW()))</f>
        <v/>
      </c>
      <c r="F406" s="8" t="str" cm="1">
        <f t="array" aca="1" ref="F406" ca="1">IF(INDIRECT("'Student_Record 1'!O" &amp; ROW())="", "", INDIRECT("'Student_Record 1'!O" &amp; ROW()))</f>
        <v/>
      </c>
      <c r="G406" s="11"/>
      <c r="I406" s="11"/>
      <c r="J406" s="11"/>
      <c r="K406" s="11"/>
      <c r="L406" s="11"/>
      <c r="M406" s="11"/>
      <c r="N406" s="11"/>
      <c r="O406" s="11"/>
      <c r="P406" s="11"/>
      <c r="Q406" s="11"/>
    </row>
    <row r="407" spans="1:17" x14ac:dyDescent="0.25">
      <c r="A407" s="8" t="str" cm="1">
        <f t="array" aca="1" ref="A407" ca="1">IF(INDIRECT("'Student_Record 1'!A" &amp; ROW())="", "", INDIRECT("'Student_Record 1'!A" &amp; ROW()))</f>
        <v/>
      </c>
      <c r="B407" s="8" t="str" cm="1">
        <f t="array" aca="1" ref="B407" ca="1">IF(INDIRECT("'Student_Record 1'!C" &amp; ROW())="", "", INDIRECT("'Student_Record 1'!C" &amp; ROW()))</f>
        <v/>
      </c>
      <c r="C407" s="8" t="str" cm="1">
        <f t="array" aca="1" ref="C407" ca="1">IF(INDIRECT("'Student_Record 1'!E" &amp; ROW())="", "", INDIRECT("'Student_Record 1'!E" &amp; ROW()))</f>
        <v/>
      </c>
      <c r="D407" s="8" t="str" cm="1">
        <f t="array" aca="1" ref="D407" ca="1">IF(INDIRECT("'Student_Record 1'!G" &amp; ROW())="", "", INDIRECT("'Student_Record 1'!G" &amp; ROW()))</f>
        <v/>
      </c>
      <c r="E407" s="8" t="str" cm="1">
        <f t="array" aca="1" ref="E407" ca="1">IF(INDIRECT("'Student_Record 1'!I" &amp; ROW())="", "", INDIRECT("'Student_Record 1'!I" &amp; ROW()))</f>
        <v/>
      </c>
      <c r="F407" s="8" t="str" cm="1">
        <f t="array" aca="1" ref="F407" ca="1">IF(INDIRECT("'Student_Record 1'!O" &amp; ROW())="", "", INDIRECT("'Student_Record 1'!O" &amp; ROW()))</f>
        <v/>
      </c>
      <c r="G407" s="11"/>
      <c r="I407" s="11"/>
      <c r="J407" s="11"/>
      <c r="K407" s="11"/>
      <c r="L407" s="11"/>
      <c r="M407" s="11"/>
      <c r="N407" s="11"/>
      <c r="O407" s="11"/>
      <c r="P407" s="11"/>
      <c r="Q407" s="11"/>
    </row>
    <row r="408" spans="1:17" x14ac:dyDescent="0.25">
      <c r="A408" s="8" t="str" cm="1">
        <f t="array" aca="1" ref="A408" ca="1">IF(INDIRECT("'Student_Record 1'!A" &amp; ROW())="", "", INDIRECT("'Student_Record 1'!A" &amp; ROW()))</f>
        <v/>
      </c>
      <c r="B408" s="8" t="str" cm="1">
        <f t="array" aca="1" ref="B408" ca="1">IF(INDIRECT("'Student_Record 1'!C" &amp; ROW())="", "", INDIRECT("'Student_Record 1'!C" &amp; ROW()))</f>
        <v/>
      </c>
      <c r="C408" s="8" t="str" cm="1">
        <f t="array" aca="1" ref="C408" ca="1">IF(INDIRECT("'Student_Record 1'!E" &amp; ROW())="", "", INDIRECT("'Student_Record 1'!E" &amp; ROW()))</f>
        <v/>
      </c>
      <c r="D408" s="8" t="str" cm="1">
        <f t="array" aca="1" ref="D408" ca="1">IF(INDIRECT("'Student_Record 1'!G" &amp; ROW())="", "", INDIRECT("'Student_Record 1'!G" &amp; ROW()))</f>
        <v/>
      </c>
      <c r="E408" s="8" t="str" cm="1">
        <f t="array" aca="1" ref="E408" ca="1">IF(INDIRECT("'Student_Record 1'!I" &amp; ROW())="", "", INDIRECT("'Student_Record 1'!I" &amp; ROW()))</f>
        <v/>
      </c>
      <c r="F408" s="8" t="str" cm="1">
        <f t="array" aca="1" ref="F408" ca="1">IF(INDIRECT("'Student_Record 1'!O" &amp; ROW())="", "", INDIRECT("'Student_Record 1'!O" &amp; ROW()))</f>
        <v/>
      </c>
      <c r="G408" s="11"/>
      <c r="I408" s="11"/>
      <c r="J408" s="11"/>
      <c r="K408" s="11"/>
      <c r="L408" s="11"/>
      <c r="M408" s="11"/>
      <c r="N408" s="11"/>
      <c r="O408" s="11"/>
      <c r="P408" s="11"/>
      <c r="Q408" s="11"/>
    </row>
    <row r="409" spans="1:17" x14ac:dyDescent="0.25">
      <c r="A409" s="8" t="str" cm="1">
        <f t="array" aca="1" ref="A409" ca="1">IF(INDIRECT("'Student_Record 1'!A" &amp; ROW())="", "", INDIRECT("'Student_Record 1'!A" &amp; ROW()))</f>
        <v/>
      </c>
      <c r="B409" s="8" t="str" cm="1">
        <f t="array" aca="1" ref="B409" ca="1">IF(INDIRECT("'Student_Record 1'!C" &amp; ROW())="", "", INDIRECT("'Student_Record 1'!C" &amp; ROW()))</f>
        <v/>
      </c>
      <c r="C409" s="8" t="str" cm="1">
        <f t="array" aca="1" ref="C409" ca="1">IF(INDIRECT("'Student_Record 1'!E" &amp; ROW())="", "", INDIRECT("'Student_Record 1'!E" &amp; ROW()))</f>
        <v/>
      </c>
      <c r="D409" s="8" t="str" cm="1">
        <f t="array" aca="1" ref="D409" ca="1">IF(INDIRECT("'Student_Record 1'!G" &amp; ROW())="", "", INDIRECT("'Student_Record 1'!G" &amp; ROW()))</f>
        <v/>
      </c>
      <c r="E409" s="8" t="str" cm="1">
        <f t="array" aca="1" ref="E409" ca="1">IF(INDIRECT("'Student_Record 1'!I" &amp; ROW())="", "", INDIRECT("'Student_Record 1'!I" &amp; ROW()))</f>
        <v/>
      </c>
      <c r="F409" s="8" t="str" cm="1">
        <f t="array" aca="1" ref="F409" ca="1">IF(INDIRECT("'Student_Record 1'!O" &amp; ROW())="", "", INDIRECT("'Student_Record 1'!O" &amp; ROW()))</f>
        <v/>
      </c>
      <c r="G409" s="11"/>
      <c r="I409" s="11"/>
      <c r="J409" s="11"/>
      <c r="K409" s="11"/>
      <c r="L409" s="11"/>
      <c r="M409" s="11"/>
      <c r="N409" s="11"/>
      <c r="O409" s="11"/>
      <c r="P409" s="11"/>
      <c r="Q409" s="11"/>
    </row>
    <row r="410" spans="1:17" x14ac:dyDescent="0.25">
      <c r="A410" s="8" t="str" cm="1">
        <f t="array" aca="1" ref="A410" ca="1">IF(INDIRECT("'Student_Record 1'!A" &amp; ROW())="", "", INDIRECT("'Student_Record 1'!A" &amp; ROW()))</f>
        <v/>
      </c>
      <c r="B410" s="8" t="str" cm="1">
        <f t="array" aca="1" ref="B410" ca="1">IF(INDIRECT("'Student_Record 1'!C" &amp; ROW())="", "", INDIRECT("'Student_Record 1'!C" &amp; ROW()))</f>
        <v/>
      </c>
      <c r="C410" s="8" t="str" cm="1">
        <f t="array" aca="1" ref="C410" ca="1">IF(INDIRECT("'Student_Record 1'!E" &amp; ROW())="", "", INDIRECT("'Student_Record 1'!E" &amp; ROW()))</f>
        <v/>
      </c>
      <c r="D410" s="8" t="str" cm="1">
        <f t="array" aca="1" ref="D410" ca="1">IF(INDIRECT("'Student_Record 1'!G" &amp; ROW())="", "", INDIRECT("'Student_Record 1'!G" &amp; ROW()))</f>
        <v/>
      </c>
      <c r="E410" s="8" t="str" cm="1">
        <f t="array" aca="1" ref="E410" ca="1">IF(INDIRECT("'Student_Record 1'!I" &amp; ROW())="", "", INDIRECT("'Student_Record 1'!I" &amp; ROW()))</f>
        <v/>
      </c>
      <c r="F410" s="8" t="str" cm="1">
        <f t="array" aca="1" ref="F410" ca="1">IF(INDIRECT("'Student_Record 1'!O" &amp; ROW())="", "", INDIRECT("'Student_Record 1'!O" &amp; ROW()))</f>
        <v/>
      </c>
      <c r="G410" s="11"/>
      <c r="I410" s="11"/>
      <c r="J410" s="11"/>
      <c r="K410" s="11"/>
      <c r="L410" s="11"/>
      <c r="M410" s="11"/>
      <c r="N410" s="11"/>
      <c r="O410" s="11"/>
      <c r="P410" s="11"/>
      <c r="Q410" s="11"/>
    </row>
    <row r="411" spans="1:17" x14ac:dyDescent="0.25">
      <c r="A411" s="8" t="str" cm="1">
        <f t="array" aca="1" ref="A411" ca="1">IF(INDIRECT("'Student_Record 1'!A" &amp; ROW())="", "", INDIRECT("'Student_Record 1'!A" &amp; ROW()))</f>
        <v/>
      </c>
      <c r="B411" s="8" t="str" cm="1">
        <f t="array" aca="1" ref="B411" ca="1">IF(INDIRECT("'Student_Record 1'!C" &amp; ROW())="", "", INDIRECT("'Student_Record 1'!C" &amp; ROW()))</f>
        <v/>
      </c>
      <c r="C411" s="8" t="str" cm="1">
        <f t="array" aca="1" ref="C411" ca="1">IF(INDIRECT("'Student_Record 1'!E" &amp; ROW())="", "", INDIRECT("'Student_Record 1'!E" &amp; ROW()))</f>
        <v/>
      </c>
      <c r="D411" s="8" t="str" cm="1">
        <f t="array" aca="1" ref="D411" ca="1">IF(INDIRECT("'Student_Record 1'!G" &amp; ROW())="", "", INDIRECT("'Student_Record 1'!G" &amp; ROW()))</f>
        <v/>
      </c>
      <c r="E411" s="8" t="str" cm="1">
        <f t="array" aca="1" ref="E411" ca="1">IF(INDIRECT("'Student_Record 1'!I" &amp; ROW())="", "", INDIRECT("'Student_Record 1'!I" &amp; ROW()))</f>
        <v/>
      </c>
      <c r="F411" s="8" t="str" cm="1">
        <f t="array" aca="1" ref="F411" ca="1">IF(INDIRECT("'Student_Record 1'!O" &amp; ROW())="", "", INDIRECT("'Student_Record 1'!O" &amp; ROW()))</f>
        <v/>
      </c>
      <c r="G411" s="11"/>
      <c r="I411" s="11"/>
      <c r="J411" s="11"/>
      <c r="K411" s="11"/>
      <c r="L411" s="11"/>
      <c r="M411" s="11"/>
      <c r="N411" s="11"/>
      <c r="O411" s="11"/>
      <c r="P411" s="11"/>
      <c r="Q411" s="11"/>
    </row>
    <row r="412" spans="1:17" x14ac:dyDescent="0.25">
      <c r="A412" s="8" t="str" cm="1">
        <f t="array" aca="1" ref="A412" ca="1">IF(INDIRECT("'Student_Record 1'!A" &amp; ROW())="", "", INDIRECT("'Student_Record 1'!A" &amp; ROW()))</f>
        <v/>
      </c>
      <c r="B412" s="8" t="str" cm="1">
        <f t="array" aca="1" ref="B412" ca="1">IF(INDIRECT("'Student_Record 1'!C" &amp; ROW())="", "", INDIRECT("'Student_Record 1'!C" &amp; ROW()))</f>
        <v/>
      </c>
      <c r="C412" s="8" t="str" cm="1">
        <f t="array" aca="1" ref="C412" ca="1">IF(INDIRECT("'Student_Record 1'!E" &amp; ROW())="", "", INDIRECT("'Student_Record 1'!E" &amp; ROW()))</f>
        <v/>
      </c>
      <c r="D412" s="8" t="str" cm="1">
        <f t="array" aca="1" ref="D412" ca="1">IF(INDIRECT("'Student_Record 1'!G" &amp; ROW())="", "", INDIRECT("'Student_Record 1'!G" &amp; ROW()))</f>
        <v/>
      </c>
      <c r="E412" s="8" t="str" cm="1">
        <f t="array" aca="1" ref="E412" ca="1">IF(INDIRECT("'Student_Record 1'!I" &amp; ROW())="", "", INDIRECT("'Student_Record 1'!I" &amp; ROW()))</f>
        <v/>
      </c>
      <c r="F412" s="8" t="str" cm="1">
        <f t="array" aca="1" ref="F412" ca="1">IF(INDIRECT("'Student_Record 1'!O" &amp; ROW())="", "", INDIRECT("'Student_Record 1'!O" &amp; ROW()))</f>
        <v/>
      </c>
      <c r="G412" s="11"/>
      <c r="I412" s="11"/>
      <c r="J412" s="11"/>
      <c r="K412" s="11"/>
      <c r="L412" s="11"/>
      <c r="M412" s="11"/>
      <c r="N412" s="11"/>
      <c r="O412" s="11"/>
      <c r="P412" s="11"/>
      <c r="Q412" s="11"/>
    </row>
    <row r="413" spans="1:17" x14ac:dyDescent="0.25">
      <c r="A413" s="8" t="str" cm="1">
        <f t="array" aca="1" ref="A413" ca="1">IF(INDIRECT("'Student_Record 1'!A" &amp; ROW())="", "", INDIRECT("'Student_Record 1'!A" &amp; ROW()))</f>
        <v/>
      </c>
      <c r="B413" s="8" t="str" cm="1">
        <f t="array" aca="1" ref="B413" ca="1">IF(INDIRECT("'Student_Record 1'!C" &amp; ROW())="", "", INDIRECT("'Student_Record 1'!C" &amp; ROW()))</f>
        <v/>
      </c>
      <c r="C413" s="8" t="str" cm="1">
        <f t="array" aca="1" ref="C413" ca="1">IF(INDIRECT("'Student_Record 1'!E" &amp; ROW())="", "", INDIRECT("'Student_Record 1'!E" &amp; ROW()))</f>
        <v/>
      </c>
      <c r="D413" s="8" t="str" cm="1">
        <f t="array" aca="1" ref="D413" ca="1">IF(INDIRECT("'Student_Record 1'!G" &amp; ROW())="", "", INDIRECT("'Student_Record 1'!G" &amp; ROW()))</f>
        <v/>
      </c>
      <c r="E413" s="8" t="str" cm="1">
        <f t="array" aca="1" ref="E413" ca="1">IF(INDIRECT("'Student_Record 1'!I" &amp; ROW())="", "", INDIRECT("'Student_Record 1'!I" &amp; ROW()))</f>
        <v/>
      </c>
      <c r="F413" s="8" t="str" cm="1">
        <f t="array" aca="1" ref="F413" ca="1">IF(INDIRECT("'Student_Record 1'!O" &amp; ROW())="", "", INDIRECT("'Student_Record 1'!O" &amp; ROW()))</f>
        <v/>
      </c>
      <c r="G413" s="11"/>
      <c r="I413" s="11"/>
      <c r="J413" s="11"/>
      <c r="K413" s="11"/>
      <c r="L413" s="11"/>
      <c r="M413" s="11"/>
      <c r="N413" s="11"/>
      <c r="O413" s="11"/>
      <c r="P413" s="11"/>
      <c r="Q413" s="11"/>
    </row>
    <row r="414" spans="1:17" x14ac:dyDescent="0.25">
      <c r="A414" s="8" t="str" cm="1">
        <f t="array" aca="1" ref="A414" ca="1">IF(INDIRECT("'Student_Record 1'!A" &amp; ROW())="", "", INDIRECT("'Student_Record 1'!A" &amp; ROW()))</f>
        <v/>
      </c>
      <c r="B414" s="8" t="str" cm="1">
        <f t="array" aca="1" ref="B414" ca="1">IF(INDIRECT("'Student_Record 1'!C" &amp; ROW())="", "", INDIRECT("'Student_Record 1'!C" &amp; ROW()))</f>
        <v/>
      </c>
      <c r="C414" s="8" t="str" cm="1">
        <f t="array" aca="1" ref="C414" ca="1">IF(INDIRECT("'Student_Record 1'!E" &amp; ROW())="", "", INDIRECT("'Student_Record 1'!E" &amp; ROW()))</f>
        <v/>
      </c>
      <c r="D414" s="8" t="str" cm="1">
        <f t="array" aca="1" ref="D414" ca="1">IF(INDIRECT("'Student_Record 1'!G" &amp; ROW())="", "", INDIRECT("'Student_Record 1'!G" &amp; ROW()))</f>
        <v/>
      </c>
      <c r="E414" s="8" t="str" cm="1">
        <f t="array" aca="1" ref="E414" ca="1">IF(INDIRECT("'Student_Record 1'!I" &amp; ROW())="", "", INDIRECT("'Student_Record 1'!I" &amp; ROW()))</f>
        <v/>
      </c>
      <c r="F414" s="8" t="str" cm="1">
        <f t="array" aca="1" ref="F414" ca="1">IF(INDIRECT("'Student_Record 1'!O" &amp; ROW())="", "", INDIRECT("'Student_Record 1'!O" &amp; ROW()))</f>
        <v/>
      </c>
      <c r="G414" s="11"/>
      <c r="I414" s="11"/>
      <c r="J414" s="11"/>
      <c r="K414" s="11"/>
      <c r="L414" s="11"/>
      <c r="M414" s="11"/>
      <c r="N414" s="11"/>
      <c r="O414" s="11"/>
      <c r="P414" s="11"/>
      <c r="Q414" s="11"/>
    </row>
    <row r="415" spans="1:17" x14ac:dyDescent="0.25">
      <c r="A415" s="8" t="str" cm="1">
        <f t="array" aca="1" ref="A415" ca="1">IF(INDIRECT("'Student_Record 1'!A" &amp; ROW())="", "", INDIRECT("'Student_Record 1'!A" &amp; ROW()))</f>
        <v/>
      </c>
      <c r="B415" s="8" t="str" cm="1">
        <f t="array" aca="1" ref="B415" ca="1">IF(INDIRECT("'Student_Record 1'!C" &amp; ROW())="", "", INDIRECT("'Student_Record 1'!C" &amp; ROW()))</f>
        <v/>
      </c>
      <c r="C415" s="8" t="str" cm="1">
        <f t="array" aca="1" ref="C415" ca="1">IF(INDIRECT("'Student_Record 1'!E" &amp; ROW())="", "", INDIRECT("'Student_Record 1'!E" &amp; ROW()))</f>
        <v/>
      </c>
      <c r="D415" s="8" t="str" cm="1">
        <f t="array" aca="1" ref="D415" ca="1">IF(INDIRECT("'Student_Record 1'!G" &amp; ROW())="", "", INDIRECT("'Student_Record 1'!G" &amp; ROW()))</f>
        <v/>
      </c>
      <c r="E415" s="8" t="str" cm="1">
        <f t="array" aca="1" ref="E415" ca="1">IF(INDIRECT("'Student_Record 1'!I" &amp; ROW())="", "", INDIRECT("'Student_Record 1'!I" &amp; ROW()))</f>
        <v/>
      </c>
      <c r="F415" s="8" t="str" cm="1">
        <f t="array" aca="1" ref="F415" ca="1">IF(INDIRECT("'Student_Record 1'!O" &amp; ROW())="", "", INDIRECT("'Student_Record 1'!O" &amp; ROW()))</f>
        <v/>
      </c>
      <c r="G415" s="11"/>
      <c r="I415" s="11"/>
      <c r="J415" s="11"/>
      <c r="K415" s="11"/>
      <c r="L415" s="11"/>
      <c r="M415" s="11"/>
      <c r="N415" s="11"/>
      <c r="O415" s="11"/>
      <c r="P415" s="11"/>
      <c r="Q415" s="11"/>
    </row>
    <row r="416" spans="1:17" x14ac:dyDescent="0.25">
      <c r="A416" s="8" t="str" cm="1">
        <f t="array" aca="1" ref="A416" ca="1">IF(INDIRECT("'Student_Record 1'!A" &amp; ROW())="", "", INDIRECT("'Student_Record 1'!A" &amp; ROW()))</f>
        <v/>
      </c>
      <c r="B416" s="8" t="str" cm="1">
        <f t="array" aca="1" ref="B416" ca="1">IF(INDIRECT("'Student_Record 1'!C" &amp; ROW())="", "", INDIRECT("'Student_Record 1'!C" &amp; ROW()))</f>
        <v/>
      </c>
      <c r="C416" s="8" t="str" cm="1">
        <f t="array" aca="1" ref="C416" ca="1">IF(INDIRECT("'Student_Record 1'!E" &amp; ROW())="", "", INDIRECT("'Student_Record 1'!E" &amp; ROW()))</f>
        <v/>
      </c>
      <c r="D416" s="8" t="str" cm="1">
        <f t="array" aca="1" ref="D416" ca="1">IF(INDIRECT("'Student_Record 1'!G" &amp; ROW())="", "", INDIRECT("'Student_Record 1'!G" &amp; ROW()))</f>
        <v/>
      </c>
      <c r="E416" s="8" t="str" cm="1">
        <f t="array" aca="1" ref="E416" ca="1">IF(INDIRECT("'Student_Record 1'!I" &amp; ROW())="", "", INDIRECT("'Student_Record 1'!I" &amp; ROW()))</f>
        <v/>
      </c>
      <c r="F416" s="8" t="str" cm="1">
        <f t="array" aca="1" ref="F416" ca="1">IF(INDIRECT("'Student_Record 1'!O" &amp; ROW())="", "", INDIRECT("'Student_Record 1'!O" &amp; ROW()))</f>
        <v/>
      </c>
      <c r="G416" s="11"/>
      <c r="I416" s="11"/>
      <c r="J416" s="11"/>
      <c r="K416" s="11"/>
      <c r="L416" s="11"/>
      <c r="M416" s="11"/>
      <c r="N416" s="11"/>
      <c r="O416" s="11"/>
      <c r="P416" s="11"/>
      <c r="Q416" s="11"/>
    </row>
    <row r="417" spans="1:17" x14ac:dyDescent="0.25">
      <c r="A417" s="8" t="str" cm="1">
        <f t="array" aca="1" ref="A417" ca="1">IF(INDIRECT("'Student_Record 1'!A" &amp; ROW())="", "", INDIRECT("'Student_Record 1'!A" &amp; ROW()))</f>
        <v/>
      </c>
      <c r="B417" s="8" t="str" cm="1">
        <f t="array" aca="1" ref="B417" ca="1">IF(INDIRECT("'Student_Record 1'!C" &amp; ROW())="", "", INDIRECT("'Student_Record 1'!C" &amp; ROW()))</f>
        <v/>
      </c>
      <c r="C417" s="8" t="str" cm="1">
        <f t="array" aca="1" ref="C417" ca="1">IF(INDIRECT("'Student_Record 1'!E" &amp; ROW())="", "", INDIRECT("'Student_Record 1'!E" &amp; ROW()))</f>
        <v/>
      </c>
      <c r="D417" s="8" t="str" cm="1">
        <f t="array" aca="1" ref="D417" ca="1">IF(INDIRECT("'Student_Record 1'!G" &amp; ROW())="", "", INDIRECT("'Student_Record 1'!G" &amp; ROW()))</f>
        <v/>
      </c>
      <c r="E417" s="8" t="str" cm="1">
        <f t="array" aca="1" ref="E417" ca="1">IF(INDIRECT("'Student_Record 1'!I" &amp; ROW())="", "", INDIRECT("'Student_Record 1'!I" &amp; ROW()))</f>
        <v/>
      </c>
      <c r="F417" s="8" t="str" cm="1">
        <f t="array" aca="1" ref="F417" ca="1">IF(INDIRECT("'Student_Record 1'!O" &amp; ROW())="", "", INDIRECT("'Student_Record 1'!O" &amp; ROW()))</f>
        <v/>
      </c>
      <c r="G417" s="11"/>
      <c r="I417" s="11"/>
      <c r="J417" s="11"/>
      <c r="K417" s="11"/>
      <c r="L417" s="11"/>
      <c r="M417" s="11"/>
      <c r="N417" s="11"/>
      <c r="O417" s="11"/>
      <c r="P417" s="11"/>
      <c r="Q417" s="11"/>
    </row>
    <row r="418" spans="1:17" x14ac:dyDescent="0.25">
      <c r="A418" s="8" t="str" cm="1">
        <f t="array" aca="1" ref="A418" ca="1">IF(INDIRECT("'Student_Record 1'!A" &amp; ROW())="", "", INDIRECT("'Student_Record 1'!A" &amp; ROW()))</f>
        <v/>
      </c>
      <c r="B418" s="8" t="str" cm="1">
        <f t="array" aca="1" ref="B418" ca="1">IF(INDIRECT("'Student_Record 1'!C" &amp; ROW())="", "", INDIRECT("'Student_Record 1'!C" &amp; ROW()))</f>
        <v/>
      </c>
      <c r="C418" s="8" t="str" cm="1">
        <f t="array" aca="1" ref="C418" ca="1">IF(INDIRECT("'Student_Record 1'!E" &amp; ROW())="", "", INDIRECT("'Student_Record 1'!E" &amp; ROW()))</f>
        <v/>
      </c>
      <c r="D418" s="8" t="str" cm="1">
        <f t="array" aca="1" ref="D418" ca="1">IF(INDIRECT("'Student_Record 1'!G" &amp; ROW())="", "", INDIRECT("'Student_Record 1'!G" &amp; ROW()))</f>
        <v/>
      </c>
      <c r="E418" s="8" t="str" cm="1">
        <f t="array" aca="1" ref="E418" ca="1">IF(INDIRECT("'Student_Record 1'!I" &amp; ROW())="", "", INDIRECT("'Student_Record 1'!I" &amp; ROW()))</f>
        <v/>
      </c>
      <c r="F418" s="8" t="str" cm="1">
        <f t="array" aca="1" ref="F418" ca="1">IF(INDIRECT("'Student_Record 1'!O" &amp; ROW())="", "", INDIRECT("'Student_Record 1'!O" &amp; ROW()))</f>
        <v/>
      </c>
      <c r="G418" s="11"/>
      <c r="I418" s="11"/>
      <c r="J418" s="11"/>
      <c r="K418" s="11"/>
      <c r="L418" s="11"/>
      <c r="M418" s="11"/>
      <c r="N418" s="11"/>
      <c r="O418" s="11"/>
      <c r="P418" s="11"/>
      <c r="Q418" s="11"/>
    </row>
    <row r="419" spans="1:17" x14ac:dyDescent="0.25">
      <c r="A419" s="8" t="str" cm="1">
        <f t="array" aca="1" ref="A419" ca="1">IF(INDIRECT("'Student_Record 1'!A" &amp; ROW())="", "", INDIRECT("'Student_Record 1'!A" &amp; ROW()))</f>
        <v/>
      </c>
      <c r="B419" s="8" t="str" cm="1">
        <f t="array" aca="1" ref="B419" ca="1">IF(INDIRECT("'Student_Record 1'!C" &amp; ROW())="", "", INDIRECT("'Student_Record 1'!C" &amp; ROW()))</f>
        <v/>
      </c>
      <c r="C419" s="8" t="str" cm="1">
        <f t="array" aca="1" ref="C419" ca="1">IF(INDIRECT("'Student_Record 1'!E" &amp; ROW())="", "", INDIRECT("'Student_Record 1'!E" &amp; ROW()))</f>
        <v/>
      </c>
      <c r="D419" s="8" t="str" cm="1">
        <f t="array" aca="1" ref="D419" ca="1">IF(INDIRECT("'Student_Record 1'!G" &amp; ROW())="", "", INDIRECT("'Student_Record 1'!G" &amp; ROW()))</f>
        <v/>
      </c>
      <c r="E419" s="8" t="str" cm="1">
        <f t="array" aca="1" ref="E419" ca="1">IF(INDIRECT("'Student_Record 1'!I" &amp; ROW())="", "", INDIRECT("'Student_Record 1'!I" &amp; ROW()))</f>
        <v/>
      </c>
      <c r="F419" s="8" t="str" cm="1">
        <f t="array" aca="1" ref="F419" ca="1">IF(INDIRECT("'Student_Record 1'!O" &amp; ROW())="", "", INDIRECT("'Student_Record 1'!O" &amp; ROW()))</f>
        <v/>
      </c>
      <c r="G419" s="11"/>
      <c r="I419" s="11"/>
      <c r="J419" s="11"/>
      <c r="K419" s="11"/>
      <c r="L419" s="11"/>
      <c r="M419" s="11"/>
      <c r="N419" s="11"/>
      <c r="O419" s="11"/>
      <c r="P419" s="11"/>
      <c r="Q419" s="11"/>
    </row>
    <row r="420" spans="1:17" x14ac:dyDescent="0.25">
      <c r="A420" s="8" t="str" cm="1">
        <f t="array" aca="1" ref="A420" ca="1">IF(INDIRECT("'Student_Record 1'!A" &amp; ROW())="", "", INDIRECT("'Student_Record 1'!A" &amp; ROW()))</f>
        <v/>
      </c>
      <c r="B420" s="8" t="str" cm="1">
        <f t="array" aca="1" ref="B420" ca="1">IF(INDIRECT("'Student_Record 1'!C" &amp; ROW())="", "", INDIRECT("'Student_Record 1'!C" &amp; ROW()))</f>
        <v/>
      </c>
      <c r="C420" s="8" t="str" cm="1">
        <f t="array" aca="1" ref="C420" ca="1">IF(INDIRECT("'Student_Record 1'!E" &amp; ROW())="", "", INDIRECT("'Student_Record 1'!E" &amp; ROW()))</f>
        <v/>
      </c>
      <c r="D420" s="8" t="str" cm="1">
        <f t="array" aca="1" ref="D420" ca="1">IF(INDIRECT("'Student_Record 1'!G" &amp; ROW())="", "", INDIRECT("'Student_Record 1'!G" &amp; ROW()))</f>
        <v/>
      </c>
      <c r="E420" s="8" t="str" cm="1">
        <f t="array" aca="1" ref="E420" ca="1">IF(INDIRECT("'Student_Record 1'!I" &amp; ROW())="", "", INDIRECT("'Student_Record 1'!I" &amp; ROW()))</f>
        <v/>
      </c>
      <c r="F420" s="8" t="str" cm="1">
        <f t="array" aca="1" ref="F420" ca="1">IF(INDIRECT("'Student_Record 1'!O" &amp; ROW())="", "", INDIRECT("'Student_Record 1'!O" &amp; ROW()))</f>
        <v/>
      </c>
      <c r="G420" s="11"/>
      <c r="I420" s="11"/>
      <c r="J420" s="11"/>
      <c r="K420" s="11"/>
      <c r="L420" s="11"/>
      <c r="M420" s="11"/>
      <c r="N420" s="11"/>
      <c r="O420" s="11"/>
      <c r="P420" s="11"/>
      <c r="Q420" s="11"/>
    </row>
    <row r="421" spans="1:17" x14ac:dyDescent="0.25">
      <c r="A421" s="8" t="str" cm="1">
        <f t="array" aca="1" ref="A421" ca="1">IF(INDIRECT("'Student_Record 1'!A" &amp; ROW())="", "", INDIRECT("'Student_Record 1'!A" &amp; ROW()))</f>
        <v/>
      </c>
      <c r="B421" s="8" t="str" cm="1">
        <f t="array" aca="1" ref="B421" ca="1">IF(INDIRECT("'Student_Record 1'!C" &amp; ROW())="", "", INDIRECT("'Student_Record 1'!C" &amp; ROW()))</f>
        <v/>
      </c>
      <c r="C421" s="8" t="str" cm="1">
        <f t="array" aca="1" ref="C421" ca="1">IF(INDIRECT("'Student_Record 1'!E" &amp; ROW())="", "", INDIRECT("'Student_Record 1'!E" &amp; ROW()))</f>
        <v/>
      </c>
      <c r="D421" s="8" t="str" cm="1">
        <f t="array" aca="1" ref="D421" ca="1">IF(INDIRECT("'Student_Record 1'!G" &amp; ROW())="", "", INDIRECT("'Student_Record 1'!G" &amp; ROW()))</f>
        <v/>
      </c>
      <c r="E421" s="8" t="str" cm="1">
        <f t="array" aca="1" ref="E421" ca="1">IF(INDIRECT("'Student_Record 1'!I" &amp; ROW())="", "", INDIRECT("'Student_Record 1'!I" &amp; ROW()))</f>
        <v/>
      </c>
      <c r="F421" s="8" t="str" cm="1">
        <f t="array" aca="1" ref="F421" ca="1">IF(INDIRECT("'Student_Record 1'!O" &amp; ROW())="", "", INDIRECT("'Student_Record 1'!O" &amp; ROW()))</f>
        <v/>
      </c>
      <c r="G421" s="11"/>
      <c r="I421" s="11"/>
      <c r="J421" s="11"/>
      <c r="K421" s="11"/>
      <c r="L421" s="11"/>
      <c r="M421" s="11"/>
      <c r="N421" s="11"/>
      <c r="O421" s="11"/>
      <c r="P421" s="11"/>
      <c r="Q421" s="11"/>
    </row>
    <row r="422" spans="1:17" x14ac:dyDescent="0.25">
      <c r="A422" s="8" t="str" cm="1">
        <f t="array" aca="1" ref="A422" ca="1">IF(INDIRECT("'Student_Record 1'!A" &amp; ROW())="", "", INDIRECT("'Student_Record 1'!A" &amp; ROW()))</f>
        <v/>
      </c>
      <c r="B422" s="8" t="str" cm="1">
        <f t="array" aca="1" ref="B422" ca="1">IF(INDIRECT("'Student_Record 1'!C" &amp; ROW())="", "", INDIRECT("'Student_Record 1'!C" &amp; ROW()))</f>
        <v/>
      </c>
      <c r="C422" s="8" t="str" cm="1">
        <f t="array" aca="1" ref="C422" ca="1">IF(INDIRECT("'Student_Record 1'!E" &amp; ROW())="", "", INDIRECT("'Student_Record 1'!E" &amp; ROW()))</f>
        <v/>
      </c>
      <c r="D422" s="8" t="str" cm="1">
        <f t="array" aca="1" ref="D422" ca="1">IF(INDIRECT("'Student_Record 1'!G" &amp; ROW())="", "", INDIRECT("'Student_Record 1'!G" &amp; ROW()))</f>
        <v/>
      </c>
      <c r="E422" s="8" t="str" cm="1">
        <f t="array" aca="1" ref="E422" ca="1">IF(INDIRECT("'Student_Record 1'!I" &amp; ROW())="", "", INDIRECT("'Student_Record 1'!I" &amp; ROW()))</f>
        <v/>
      </c>
      <c r="F422" s="8" t="str" cm="1">
        <f t="array" aca="1" ref="F422" ca="1">IF(INDIRECT("'Student_Record 1'!O" &amp; ROW())="", "", INDIRECT("'Student_Record 1'!O" &amp; ROW()))</f>
        <v/>
      </c>
      <c r="G422" s="11"/>
      <c r="I422" s="11"/>
      <c r="J422" s="11"/>
      <c r="K422" s="11"/>
      <c r="L422" s="11"/>
      <c r="M422" s="11"/>
      <c r="N422" s="11"/>
      <c r="O422" s="11"/>
      <c r="P422" s="11"/>
      <c r="Q422" s="11"/>
    </row>
    <row r="423" spans="1:17" x14ac:dyDescent="0.25">
      <c r="A423" s="8" t="str" cm="1">
        <f t="array" aca="1" ref="A423" ca="1">IF(INDIRECT("'Student_Record 1'!A" &amp; ROW())="", "", INDIRECT("'Student_Record 1'!A" &amp; ROW()))</f>
        <v/>
      </c>
      <c r="B423" s="8" t="str" cm="1">
        <f t="array" aca="1" ref="B423" ca="1">IF(INDIRECT("'Student_Record 1'!C" &amp; ROW())="", "", INDIRECT("'Student_Record 1'!C" &amp; ROW()))</f>
        <v/>
      </c>
      <c r="C423" s="8" t="str" cm="1">
        <f t="array" aca="1" ref="C423" ca="1">IF(INDIRECT("'Student_Record 1'!E" &amp; ROW())="", "", INDIRECT("'Student_Record 1'!E" &amp; ROW()))</f>
        <v/>
      </c>
      <c r="D423" s="8" t="str" cm="1">
        <f t="array" aca="1" ref="D423" ca="1">IF(INDIRECT("'Student_Record 1'!G" &amp; ROW())="", "", INDIRECT("'Student_Record 1'!G" &amp; ROW()))</f>
        <v/>
      </c>
      <c r="E423" s="8" t="str" cm="1">
        <f t="array" aca="1" ref="E423" ca="1">IF(INDIRECT("'Student_Record 1'!I" &amp; ROW())="", "", INDIRECT("'Student_Record 1'!I" &amp; ROW()))</f>
        <v/>
      </c>
      <c r="F423" s="8" t="str" cm="1">
        <f t="array" aca="1" ref="F423" ca="1">IF(INDIRECT("'Student_Record 1'!O" &amp; ROW())="", "", INDIRECT("'Student_Record 1'!O" &amp; ROW()))</f>
        <v/>
      </c>
      <c r="G423" s="11"/>
      <c r="I423" s="11"/>
      <c r="J423" s="11"/>
      <c r="K423" s="11"/>
      <c r="L423" s="11"/>
      <c r="M423" s="11"/>
      <c r="N423" s="11"/>
      <c r="O423" s="11"/>
      <c r="P423" s="11"/>
      <c r="Q423" s="11"/>
    </row>
    <row r="424" spans="1:17" x14ac:dyDescent="0.25">
      <c r="A424" s="8" t="str" cm="1">
        <f t="array" aca="1" ref="A424" ca="1">IF(INDIRECT("'Student_Record 1'!A" &amp; ROW())="", "", INDIRECT("'Student_Record 1'!A" &amp; ROW()))</f>
        <v/>
      </c>
      <c r="B424" s="8" t="str" cm="1">
        <f t="array" aca="1" ref="B424" ca="1">IF(INDIRECT("'Student_Record 1'!C" &amp; ROW())="", "", INDIRECT("'Student_Record 1'!C" &amp; ROW()))</f>
        <v/>
      </c>
      <c r="C424" s="8" t="str" cm="1">
        <f t="array" aca="1" ref="C424" ca="1">IF(INDIRECT("'Student_Record 1'!E" &amp; ROW())="", "", INDIRECT("'Student_Record 1'!E" &amp; ROW()))</f>
        <v/>
      </c>
      <c r="D424" s="8" t="str" cm="1">
        <f t="array" aca="1" ref="D424" ca="1">IF(INDIRECT("'Student_Record 1'!G" &amp; ROW())="", "", INDIRECT("'Student_Record 1'!G" &amp; ROW()))</f>
        <v/>
      </c>
      <c r="E424" s="8" t="str" cm="1">
        <f t="array" aca="1" ref="E424" ca="1">IF(INDIRECT("'Student_Record 1'!I" &amp; ROW())="", "", INDIRECT("'Student_Record 1'!I" &amp; ROW()))</f>
        <v/>
      </c>
      <c r="F424" s="8" t="str" cm="1">
        <f t="array" aca="1" ref="F424" ca="1">IF(INDIRECT("'Student_Record 1'!O" &amp; ROW())="", "", INDIRECT("'Student_Record 1'!O" &amp; ROW()))</f>
        <v/>
      </c>
      <c r="G424" s="11"/>
      <c r="I424" s="11"/>
      <c r="J424" s="11"/>
      <c r="K424" s="11"/>
      <c r="L424" s="11"/>
      <c r="M424" s="11"/>
      <c r="N424" s="11"/>
      <c r="O424" s="11"/>
      <c r="P424" s="11"/>
      <c r="Q424" s="11"/>
    </row>
    <row r="425" spans="1:17" x14ac:dyDescent="0.25">
      <c r="A425" s="8" t="str" cm="1">
        <f t="array" aca="1" ref="A425" ca="1">IF(INDIRECT("'Student_Record 1'!A" &amp; ROW())="", "", INDIRECT("'Student_Record 1'!A" &amp; ROW()))</f>
        <v/>
      </c>
      <c r="B425" s="8" t="str" cm="1">
        <f t="array" aca="1" ref="B425" ca="1">IF(INDIRECT("'Student_Record 1'!C" &amp; ROW())="", "", INDIRECT("'Student_Record 1'!C" &amp; ROW()))</f>
        <v/>
      </c>
      <c r="C425" s="8" t="str" cm="1">
        <f t="array" aca="1" ref="C425" ca="1">IF(INDIRECT("'Student_Record 1'!E" &amp; ROW())="", "", INDIRECT("'Student_Record 1'!E" &amp; ROW()))</f>
        <v/>
      </c>
      <c r="D425" s="8" t="str" cm="1">
        <f t="array" aca="1" ref="D425" ca="1">IF(INDIRECT("'Student_Record 1'!G" &amp; ROW())="", "", INDIRECT("'Student_Record 1'!G" &amp; ROW()))</f>
        <v/>
      </c>
      <c r="E425" s="8" t="str" cm="1">
        <f t="array" aca="1" ref="E425" ca="1">IF(INDIRECT("'Student_Record 1'!I" &amp; ROW())="", "", INDIRECT("'Student_Record 1'!I" &amp; ROW()))</f>
        <v/>
      </c>
      <c r="F425" s="8" t="str" cm="1">
        <f t="array" aca="1" ref="F425" ca="1">IF(INDIRECT("'Student_Record 1'!O" &amp; ROW())="", "", INDIRECT("'Student_Record 1'!O" &amp; ROW()))</f>
        <v/>
      </c>
      <c r="G425" s="11"/>
      <c r="I425" s="11"/>
      <c r="J425" s="11"/>
      <c r="K425" s="11"/>
      <c r="L425" s="11"/>
      <c r="M425" s="11"/>
      <c r="N425" s="11"/>
      <c r="O425" s="11"/>
      <c r="P425" s="11"/>
      <c r="Q425" s="11"/>
    </row>
    <row r="426" spans="1:17" x14ac:dyDescent="0.25">
      <c r="A426" s="8" t="str" cm="1">
        <f t="array" aca="1" ref="A426" ca="1">IF(INDIRECT("'Student_Record 1'!A" &amp; ROW())="", "", INDIRECT("'Student_Record 1'!A" &amp; ROW()))</f>
        <v/>
      </c>
      <c r="B426" s="8" t="str" cm="1">
        <f t="array" aca="1" ref="B426" ca="1">IF(INDIRECT("'Student_Record 1'!C" &amp; ROW())="", "", INDIRECT("'Student_Record 1'!C" &amp; ROW()))</f>
        <v/>
      </c>
      <c r="C426" s="8" t="str" cm="1">
        <f t="array" aca="1" ref="C426" ca="1">IF(INDIRECT("'Student_Record 1'!E" &amp; ROW())="", "", INDIRECT("'Student_Record 1'!E" &amp; ROW()))</f>
        <v/>
      </c>
      <c r="D426" s="8" t="str" cm="1">
        <f t="array" aca="1" ref="D426" ca="1">IF(INDIRECT("'Student_Record 1'!G" &amp; ROW())="", "", INDIRECT("'Student_Record 1'!G" &amp; ROW()))</f>
        <v/>
      </c>
      <c r="E426" s="8" t="str" cm="1">
        <f t="array" aca="1" ref="E426" ca="1">IF(INDIRECT("'Student_Record 1'!I" &amp; ROW())="", "", INDIRECT("'Student_Record 1'!I" &amp; ROW()))</f>
        <v/>
      </c>
      <c r="F426" s="8" t="str" cm="1">
        <f t="array" aca="1" ref="F426" ca="1">IF(INDIRECT("'Student_Record 1'!O" &amp; ROW())="", "", INDIRECT("'Student_Record 1'!O" &amp; ROW()))</f>
        <v/>
      </c>
      <c r="G426" s="11"/>
      <c r="I426" s="11"/>
      <c r="J426" s="11"/>
      <c r="K426" s="11"/>
      <c r="L426" s="11"/>
      <c r="M426" s="11"/>
      <c r="N426" s="11"/>
      <c r="O426" s="11"/>
      <c r="P426" s="11"/>
      <c r="Q426" s="11"/>
    </row>
    <row r="427" spans="1:17" x14ac:dyDescent="0.25">
      <c r="A427" s="8" t="str" cm="1">
        <f t="array" aca="1" ref="A427" ca="1">IF(INDIRECT("'Student_Record 1'!A" &amp; ROW())="", "", INDIRECT("'Student_Record 1'!A" &amp; ROW()))</f>
        <v/>
      </c>
      <c r="B427" s="8" t="str" cm="1">
        <f t="array" aca="1" ref="B427" ca="1">IF(INDIRECT("'Student_Record 1'!C" &amp; ROW())="", "", INDIRECT("'Student_Record 1'!C" &amp; ROW()))</f>
        <v/>
      </c>
      <c r="C427" s="8" t="str" cm="1">
        <f t="array" aca="1" ref="C427" ca="1">IF(INDIRECT("'Student_Record 1'!E" &amp; ROW())="", "", INDIRECT("'Student_Record 1'!E" &amp; ROW()))</f>
        <v/>
      </c>
      <c r="D427" s="8" t="str" cm="1">
        <f t="array" aca="1" ref="D427" ca="1">IF(INDIRECT("'Student_Record 1'!G" &amp; ROW())="", "", INDIRECT("'Student_Record 1'!G" &amp; ROW()))</f>
        <v/>
      </c>
      <c r="E427" s="8" t="str" cm="1">
        <f t="array" aca="1" ref="E427" ca="1">IF(INDIRECT("'Student_Record 1'!I" &amp; ROW())="", "", INDIRECT("'Student_Record 1'!I" &amp; ROW()))</f>
        <v/>
      </c>
      <c r="F427" s="8" t="str" cm="1">
        <f t="array" aca="1" ref="F427" ca="1">IF(INDIRECT("'Student_Record 1'!O" &amp; ROW())="", "", INDIRECT("'Student_Record 1'!O" &amp; ROW()))</f>
        <v/>
      </c>
      <c r="G427" s="11"/>
      <c r="I427" s="11"/>
      <c r="J427" s="11"/>
      <c r="K427" s="11"/>
      <c r="L427" s="11"/>
      <c r="M427" s="11"/>
      <c r="N427" s="11"/>
      <c r="O427" s="11"/>
      <c r="P427" s="11"/>
      <c r="Q427" s="11"/>
    </row>
    <row r="428" spans="1:17" x14ac:dyDescent="0.25">
      <c r="A428" s="8" t="str" cm="1">
        <f t="array" aca="1" ref="A428" ca="1">IF(INDIRECT("'Student_Record 1'!A" &amp; ROW())="", "", INDIRECT("'Student_Record 1'!A" &amp; ROW()))</f>
        <v/>
      </c>
      <c r="B428" s="8" t="str" cm="1">
        <f t="array" aca="1" ref="B428" ca="1">IF(INDIRECT("'Student_Record 1'!C" &amp; ROW())="", "", INDIRECT("'Student_Record 1'!C" &amp; ROW()))</f>
        <v/>
      </c>
      <c r="C428" s="8" t="str" cm="1">
        <f t="array" aca="1" ref="C428" ca="1">IF(INDIRECT("'Student_Record 1'!E" &amp; ROW())="", "", INDIRECT("'Student_Record 1'!E" &amp; ROW()))</f>
        <v/>
      </c>
      <c r="D428" s="8" t="str" cm="1">
        <f t="array" aca="1" ref="D428" ca="1">IF(INDIRECT("'Student_Record 1'!G" &amp; ROW())="", "", INDIRECT("'Student_Record 1'!G" &amp; ROW()))</f>
        <v/>
      </c>
      <c r="E428" s="8" t="str" cm="1">
        <f t="array" aca="1" ref="E428" ca="1">IF(INDIRECT("'Student_Record 1'!I" &amp; ROW())="", "", INDIRECT("'Student_Record 1'!I" &amp; ROW()))</f>
        <v/>
      </c>
      <c r="F428" s="8" t="str" cm="1">
        <f t="array" aca="1" ref="F428" ca="1">IF(INDIRECT("'Student_Record 1'!O" &amp; ROW())="", "", INDIRECT("'Student_Record 1'!O" &amp; ROW()))</f>
        <v/>
      </c>
      <c r="G428" s="11"/>
      <c r="I428" s="11"/>
      <c r="J428" s="11"/>
      <c r="K428" s="11"/>
      <c r="L428" s="11"/>
      <c r="M428" s="11"/>
      <c r="N428" s="11"/>
      <c r="O428" s="11"/>
      <c r="P428" s="11"/>
      <c r="Q428" s="11"/>
    </row>
    <row r="429" spans="1:17" x14ac:dyDescent="0.25">
      <c r="A429" s="8" t="str" cm="1">
        <f t="array" aca="1" ref="A429" ca="1">IF(INDIRECT("'Student_Record 1'!A" &amp; ROW())="", "", INDIRECT("'Student_Record 1'!A" &amp; ROW()))</f>
        <v/>
      </c>
      <c r="B429" s="8" t="str" cm="1">
        <f t="array" aca="1" ref="B429" ca="1">IF(INDIRECT("'Student_Record 1'!C" &amp; ROW())="", "", INDIRECT("'Student_Record 1'!C" &amp; ROW()))</f>
        <v/>
      </c>
      <c r="C429" s="8" t="str" cm="1">
        <f t="array" aca="1" ref="C429" ca="1">IF(INDIRECT("'Student_Record 1'!E" &amp; ROW())="", "", INDIRECT("'Student_Record 1'!E" &amp; ROW()))</f>
        <v/>
      </c>
      <c r="D429" s="8" t="str" cm="1">
        <f t="array" aca="1" ref="D429" ca="1">IF(INDIRECT("'Student_Record 1'!G" &amp; ROW())="", "", INDIRECT("'Student_Record 1'!G" &amp; ROW()))</f>
        <v/>
      </c>
      <c r="E429" s="8" t="str" cm="1">
        <f t="array" aca="1" ref="E429" ca="1">IF(INDIRECT("'Student_Record 1'!I" &amp; ROW())="", "", INDIRECT("'Student_Record 1'!I" &amp; ROW()))</f>
        <v/>
      </c>
      <c r="F429" s="8" t="str" cm="1">
        <f t="array" aca="1" ref="F429" ca="1">IF(INDIRECT("'Student_Record 1'!O" &amp; ROW())="", "", INDIRECT("'Student_Record 1'!O" &amp; ROW()))</f>
        <v/>
      </c>
      <c r="G429" s="11"/>
      <c r="I429" s="11"/>
      <c r="J429" s="11"/>
      <c r="K429" s="11"/>
      <c r="L429" s="11"/>
      <c r="M429" s="11"/>
      <c r="N429" s="11"/>
      <c r="O429" s="11"/>
      <c r="P429" s="11"/>
      <c r="Q429" s="11"/>
    </row>
    <row r="430" spans="1:17" x14ac:dyDescent="0.25">
      <c r="A430" s="8" t="str" cm="1">
        <f t="array" aca="1" ref="A430" ca="1">IF(INDIRECT("'Student_Record 1'!A" &amp; ROW())="", "", INDIRECT("'Student_Record 1'!A" &amp; ROW()))</f>
        <v/>
      </c>
      <c r="B430" s="8" t="str" cm="1">
        <f t="array" aca="1" ref="B430" ca="1">IF(INDIRECT("'Student_Record 1'!C" &amp; ROW())="", "", INDIRECT("'Student_Record 1'!C" &amp; ROW()))</f>
        <v/>
      </c>
      <c r="C430" s="8" t="str" cm="1">
        <f t="array" aca="1" ref="C430" ca="1">IF(INDIRECT("'Student_Record 1'!E" &amp; ROW())="", "", INDIRECT("'Student_Record 1'!E" &amp; ROW()))</f>
        <v/>
      </c>
      <c r="D430" s="8" t="str" cm="1">
        <f t="array" aca="1" ref="D430" ca="1">IF(INDIRECT("'Student_Record 1'!G" &amp; ROW())="", "", INDIRECT("'Student_Record 1'!G" &amp; ROW()))</f>
        <v/>
      </c>
      <c r="E430" s="8" t="str" cm="1">
        <f t="array" aca="1" ref="E430" ca="1">IF(INDIRECT("'Student_Record 1'!I" &amp; ROW())="", "", INDIRECT("'Student_Record 1'!I" &amp; ROW()))</f>
        <v/>
      </c>
      <c r="F430" s="8" t="str" cm="1">
        <f t="array" aca="1" ref="F430" ca="1">IF(INDIRECT("'Student_Record 1'!O" &amp; ROW())="", "", INDIRECT("'Student_Record 1'!O" &amp; ROW()))</f>
        <v/>
      </c>
      <c r="G430" s="11"/>
      <c r="I430" s="11"/>
      <c r="J430" s="11"/>
      <c r="K430" s="11"/>
      <c r="L430" s="11"/>
      <c r="M430" s="11"/>
      <c r="N430" s="11"/>
      <c r="O430" s="11"/>
      <c r="P430" s="11"/>
      <c r="Q430" s="11"/>
    </row>
    <row r="431" spans="1:17" x14ac:dyDescent="0.25">
      <c r="A431" s="8" t="str" cm="1">
        <f t="array" aca="1" ref="A431" ca="1">IF(INDIRECT("'Student_Record 1'!A" &amp; ROW())="", "", INDIRECT("'Student_Record 1'!A" &amp; ROW()))</f>
        <v/>
      </c>
      <c r="B431" s="8" t="str" cm="1">
        <f t="array" aca="1" ref="B431" ca="1">IF(INDIRECT("'Student_Record 1'!C" &amp; ROW())="", "", INDIRECT("'Student_Record 1'!C" &amp; ROW()))</f>
        <v/>
      </c>
      <c r="C431" s="8" t="str" cm="1">
        <f t="array" aca="1" ref="C431" ca="1">IF(INDIRECT("'Student_Record 1'!E" &amp; ROW())="", "", INDIRECT("'Student_Record 1'!E" &amp; ROW()))</f>
        <v/>
      </c>
      <c r="D431" s="8" t="str" cm="1">
        <f t="array" aca="1" ref="D431" ca="1">IF(INDIRECT("'Student_Record 1'!G" &amp; ROW())="", "", INDIRECT("'Student_Record 1'!G" &amp; ROW()))</f>
        <v/>
      </c>
      <c r="E431" s="8" t="str" cm="1">
        <f t="array" aca="1" ref="E431" ca="1">IF(INDIRECT("'Student_Record 1'!I" &amp; ROW())="", "", INDIRECT("'Student_Record 1'!I" &amp; ROW()))</f>
        <v/>
      </c>
      <c r="F431" s="8" t="str" cm="1">
        <f t="array" aca="1" ref="F431" ca="1">IF(INDIRECT("'Student_Record 1'!O" &amp; ROW())="", "", INDIRECT("'Student_Record 1'!O" &amp; ROW()))</f>
        <v/>
      </c>
      <c r="G431" s="11"/>
      <c r="I431" s="11"/>
      <c r="J431" s="11"/>
      <c r="K431" s="11"/>
      <c r="L431" s="11"/>
      <c r="M431" s="11"/>
      <c r="N431" s="11"/>
      <c r="O431" s="11"/>
      <c r="P431" s="11"/>
      <c r="Q431" s="11"/>
    </row>
    <row r="432" spans="1:17" x14ac:dyDescent="0.25">
      <c r="A432" s="8" t="str" cm="1">
        <f t="array" aca="1" ref="A432" ca="1">IF(INDIRECT("'Student_Record 1'!A" &amp; ROW())="", "", INDIRECT("'Student_Record 1'!A" &amp; ROW()))</f>
        <v/>
      </c>
      <c r="B432" s="8" t="str" cm="1">
        <f t="array" aca="1" ref="B432" ca="1">IF(INDIRECT("'Student_Record 1'!C" &amp; ROW())="", "", INDIRECT("'Student_Record 1'!C" &amp; ROW()))</f>
        <v/>
      </c>
      <c r="C432" s="8" t="str" cm="1">
        <f t="array" aca="1" ref="C432" ca="1">IF(INDIRECT("'Student_Record 1'!E" &amp; ROW())="", "", INDIRECT("'Student_Record 1'!E" &amp; ROW()))</f>
        <v/>
      </c>
      <c r="D432" s="8" t="str" cm="1">
        <f t="array" aca="1" ref="D432" ca="1">IF(INDIRECT("'Student_Record 1'!G" &amp; ROW())="", "", INDIRECT("'Student_Record 1'!G" &amp; ROW()))</f>
        <v/>
      </c>
      <c r="E432" s="8" t="str" cm="1">
        <f t="array" aca="1" ref="E432" ca="1">IF(INDIRECT("'Student_Record 1'!I" &amp; ROW())="", "", INDIRECT("'Student_Record 1'!I" &amp; ROW()))</f>
        <v/>
      </c>
      <c r="F432" s="8" t="str" cm="1">
        <f t="array" aca="1" ref="F432" ca="1">IF(INDIRECT("'Student_Record 1'!O" &amp; ROW())="", "", INDIRECT("'Student_Record 1'!O" &amp; ROW()))</f>
        <v/>
      </c>
      <c r="G432" s="11"/>
      <c r="I432" s="11"/>
      <c r="J432" s="11"/>
      <c r="K432" s="11"/>
      <c r="L432" s="11"/>
      <c r="M432" s="11"/>
      <c r="N432" s="11"/>
      <c r="O432" s="11"/>
      <c r="P432" s="11"/>
      <c r="Q432" s="11"/>
    </row>
    <row r="433" spans="1:17" x14ac:dyDescent="0.25">
      <c r="A433" s="8" t="str" cm="1">
        <f t="array" aca="1" ref="A433" ca="1">IF(INDIRECT("'Student_Record 1'!A" &amp; ROW())="", "", INDIRECT("'Student_Record 1'!A" &amp; ROW()))</f>
        <v/>
      </c>
      <c r="B433" s="8" t="str" cm="1">
        <f t="array" aca="1" ref="B433" ca="1">IF(INDIRECT("'Student_Record 1'!C" &amp; ROW())="", "", INDIRECT("'Student_Record 1'!C" &amp; ROW()))</f>
        <v/>
      </c>
      <c r="C433" s="8" t="str" cm="1">
        <f t="array" aca="1" ref="C433" ca="1">IF(INDIRECT("'Student_Record 1'!E" &amp; ROW())="", "", INDIRECT("'Student_Record 1'!E" &amp; ROW()))</f>
        <v/>
      </c>
      <c r="D433" s="8" t="str" cm="1">
        <f t="array" aca="1" ref="D433" ca="1">IF(INDIRECT("'Student_Record 1'!G" &amp; ROW())="", "", INDIRECT("'Student_Record 1'!G" &amp; ROW()))</f>
        <v/>
      </c>
      <c r="E433" s="8" t="str" cm="1">
        <f t="array" aca="1" ref="E433" ca="1">IF(INDIRECT("'Student_Record 1'!I" &amp; ROW())="", "", INDIRECT("'Student_Record 1'!I" &amp; ROW()))</f>
        <v/>
      </c>
      <c r="F433" s="8" t="str" cm="1">
        <f t="array" aca="1" ref="F433" ca="1">IF(INDIRECT("'Student_Record 1'!O" &amp; ROW())="", "", INDIRECT("'Student_Record 1'!O" &amp; ROW()))</f>
        <v/>
      </c>
      <c r="G433" s="11"/>
      <c r="I433" s="11"/>
      <c r="J433" s="11"/>
      <c r="K433" s="11"/>
      <c r="L433" s="11"/>
      <c r="M433" s="11"/>
      <c r="N433" s="11"/>
      <c r="O433" s="11"/>
      <c r="P433" s="11"/>
      <c r="Q433" s="11"/>
    </row>
    <row r="434" spans="1:17" x14ac:dyDescent="0.25">
      <c r="A434" s="8" t="str" cm="1">
        <f t="array" aca="1" ref="A434" ca="1">IF(INDIRECT("'Student_Record 1'!A" &amp; ROW())="", "", INDIRECT("'Student_Record 1'!A" &amp; ROW()))</f>
        <v/>
      </c>
      <c r="B434" s="8" t="str" cm="1">
        <f t="array" aca="1" ref="B434" ca="1">IF(INDIRECT("'Student_Record 1'!C" &amp; ROW())="", "", INDIRECT("'Student_Record 1'!C" &amp; ROW()))</f>
        <v/>
      </c>
      <c r="C434" s="8" t="str" cm="1">
        <f t="array" aca="1" ref="C434" ca="1">IF(INDIRECT("'Student_Record 1'!E" &amp; ROW())="", "", INDIRECT("'Student_Record 1'!E" &amp; ROW()))</f>
        <v/>
      </c>
      <c r="D434" s="8" t="str" cm="1">
        <f t="array" aca="1" ref="D434" ca="1">IF(INDIRECT("'Student_Record 1'!G" &amp; ROW())="", "", INDIRECT("'Student_Record 1'!G" &amp; ROW()))</f>
        <v/>
      </c>
      <c r="E434" s="8" t="str" cm="1">
        <f t="array" aca="1" ref="E434" ca="1">IF(INDIRECT("'Student_Record 1'!I" &amp; ROW())="", "", INDIRECT("'Student_Record 1'!I" &amp; ROW()))</f>
        <v/>
      </c>
      <c r="F434" s="8" t="str" cm="1">
        <f t="array" aca="1" ref="F434" ca="1">IF(INDIRECT("'Student_Record 1'!O" &amp; ROW())="", "", INDIRECT("'Student_Record 1'!O" &amp; ROW()))</f>
        <v/>
      </c>
      <c r="G434" s="11"/>
      <c r="I434" s="11"/>
      <c r="J434" s="11"/>
      <c r="K434" s="11"/>
      <c r="L434" s="11"/>
      <c r="M434" s="11"/>
      <c r="N434" s="11"/>
      <c r="O434" s="11"/>
      <c r="P434" s="11"/>
      <c r="Q434" s="11"/>
    </row>
    <row r="435" spans="1:17" x14ac:dyDescent="0.25">
      <c r="A435" s="8" t="str" cm="1">
        <f t="array" aca="1" ref="A435" ca="1">IF(INDIRECT("'Student_Record 1'!A" &amp; ROW())="", "", INDIRECT("'Student_Record 1'!A" &amp; ROW()))</f>
        <v/>
      </c>
      <c r="B435" s="8" t="str" cm="1">
        <f t="array" aca="1" ref="B435" ca="1">IF(INDIRECT("'Student_Record 1'!C" &amp; ROW())="", "", INDIRECT("'Student_Record 1'!C" &amp; ROW()))</f>
        <v/>
      </c>
      <c r="C435" s="8" t="str" cm="1">
        <f t="array" aca="1" ref="C435" ca="1">IF(INDIRECT("'Student_Record 1'!E" &amp; ROW())="", "", INDIRECT("'Student_Record 1'!E" &amp; ROW()))</f>
        <v/>
      </c>
      <c r="D435" s="8" t="str" cm="1">
        <f t="array" aca="1" ref="D435" ca="1">IF(INDIRECT("'Student_Record 1'!G" &amp; ROW())="", "", INDIRECT("'Student_Record 1'!G" &amp; ROW()))</f>
        <v/>
      </c>
      <c r="E435" s="8" t="str" cm="1">
        <f t="array" aca="1" ref="E435" ca="1">IF(INDIRECT("'Student_Record 1'!I" &amp; ROW())="", "", INDIRECT("'Student_Record 1'!I" &amp; ROW()))</f>
        <v/>
      </c>
      <c r="F435" s="8" t="str" cm="1">
        <f t="array" aca="1" ref="F435" ca="1">IF(INDIRECT("'Student_Record 1'!O" &amp; ROW())="", "", INDIRECT("'Student_Record 1'!O" &amp; ROW()))</f>
        <v/>
      </c>
      <c r="G435" s="11"/>
      <c r="I435" s="11"/>
      <c r="J435" s="11"/>
      <c r="K435" s="11"/>
      <c r="L435" s="11"/>
      <c r="M435" s="11"/>
      <c r="N435" s="11"/>
      <c r="O435" s="11"/>
      <c r="P435" s="11"/>
      <c r="Q435" s="11"/>
    </row>
    <row r="436" spans="1:17" x14ac:dyDescent="0.25">
      <c r="A436" s="8" t="str" cm="1">
        <f t="array" aca="1" ref="A436" ca="1">IF(INDIRECT("'Student_Record 1'!A" &amp; ROW())="", "", INDIRECT("'Student_Record 1'!A" &amp; ROW()))</f>
        <v/>
      </c>
      <c r="B436" s="8" t="str" cm="1">
        <f t="array" aca="1" ref="B436" ca="1">IF(INDIRECT("'Student_Record 1'!C" &amp; ROW())="", "", INDIRECT("'Student_Record 1'!C" &amp; ROW()))</f>
        <v/>
      </c>
      <c r="C436" s="8" t="str" cm="1">
        <f t="array" aca="1" ref="C436" ca="1">IF(INDIRECT("'Student_Record 1'!E" &amp; ROW())="", "", INDIRECT("'Student_Record 1'!E" &amp; ROW()))</f>
        <v/>
      </c>
      <c r="D436" s="8" t="str" cm="1">
        <f t="array" aca="1" ref="D436" ca="1">IF(INDIRECT("'Student_Record 1'!G" &amp; ROW())="", "", INDIRECT("'Student_Record 1'!G" &amp; ROW()))</f>
        <v/>
      </c>
      <c r="E436" s="8" t="str" cm="1">
        <f t="array" aca="1" ref="E436" ca="1">IF(INDIRECT("'Student_Record 1'!I" &amp; ROW())="", "", INDIRECT("'Student_Record 1'!I" &amp; ROW()))</f>
        <v/>
      </c>
      <c r="F436" s="8" t="str" cm="1">
        <f t="array" aca="1" ref="F436" ca="1">IF(INDIRECT("'Student_Record 1'!O" &amp; ROW())="", "", INDIRECT("'Student_Record 1'!O" &amp; ROW()))</f>
        <v/>
      </c>
      <c r="G436" s="11"/>
      <c r="I436" s="11"/>
      <c r="J436" s="11"/>
      <c r="K436" s="11"/>
      <c r="L436" s="11"/>
      <c r="M436" s="11"/>
      <c r="N436" s="11"/>
      <c r="O436" s="11"/>
      <c r="P436" s="11"/>
      <c r="Q436" s="11"/>
    </row>
    <row r="437" spans="1:17" x14ac:dyDescent="0.25">
      <c r="A437" s="8" t="str" cm="1">
        <f t="array" aca="1" ref="A437" ca="1">IF(INDIRECT("'Student_Record 1'!A" &amp; ROW())="", "", INDIRECT("'Student_Record 1'!A" &amp; ROW()))</f>
        <v/>
      </c>
      <c r="B437" s="8" t="str" cm="1">
        <f t="array" aca="1" ref="B437" ca="1">IF(INDIRECT("'Student_Record 1'!C" &amp; ROW())="", "", INDIRECT("'Student_Record 1'!C" &amp; ROW()))</f>
        <v/>
      </c>
      <c r="C437" s="8" t="str" cm="1">
        <f t="array" aca="1" ref="C437" ca="1">IF(INDIRECT("'Student_Record 1'!E" &amp; ROW())="", "", INDIRECT("'Student_Record 1'!E" &amp; ROW()))</f>
        <v/>
      </c>
      <c r="D437" s="8" t="str" cm="1">
        <f t="array" aca="1" ref="D437" ca="1">IF(INDIRECT("'Student_Record 1'!G" &amp; ROW())="", "", INDIRECT("'Student_Record 1'!G" &amp; ROW()))</f>
        <v/>
      </c>
      <c r="E437" s="8" t="str" cm="1">
        <f t="array" aca="1" ref="E437" ca="1">IF(INDIRECT("'Student_Record 1'!I" &amp; ROW())="", "", INDIRECT("'Student_Record 1'!I" &amp; ROW()))</f>
        <v/>
      </c>
      <c r="F437" s="8" t="str" cm="1">
        <f t="array" aca="1" ref="F437" ca="1">IF(INDIRECT("'Student_Record 1'!O" &amp; ROW())="", "", INDIRECT("'Student_Record 1'!O" &amp; ROW()))</f>
        <v/>
      </c>
      <c r="G437" s="11"/>
      <c r="I437" s="11"/>
      <c r="J437" s="11"/>
      <c r="K437" s="11"/>
      <c r="L437" s="11"/>
      <c r="M437" s="11"/>
      <c r="N437" s="11"/>
      <c r="O437" s="11"/>
      <c r="P437" s="11"/>
      <c r="Q437" s="11"/>
    </row>
    <row r="438" spans="1:17" x14ac:dyDescent="0.25">
      <c r="A438" s="8" t="str" cm="1">
        <f t="array" aca="1" ref="A438" ca="1">IF(INDIRECT("'Student_Record 1'!A" &amp; ROW())="", "", INDIRECT("'Student_Record 1'!A" &amp; ROW()))</f>
        <v/>
      </c>
      <c r="B438" s="8" t="str" cm="1">
        <f t="array" aca="1" ref="B438" ca="1">IF(INDIRECT("'Student_Record 1'!C" &amp; ROW())="", "", INDIRECT("'Student_Record 1'!C" &amp; ROW()))</f>
        <v/>
      </c>
      <c r="C438" s="8" t="str" cm="1">
        <f t="array" aca="1" ref="C438" ca="1">IF(INDIRECT("'Student_Record 1'!E" &amp; ROW())="", "", INDIRECT("'Student_Record 1'!E" &amp; ROW()))</f>
        <v/>
      </c>
      <c r="D438" s="8" t="str" cm="1">
        <f t="array" aca="1" ref="D438" ca="1">IF(INDIRECT("'Student_Record 1'!G" &amp; ROW())="", "", INDIRECT("'Student_Record 1'!G" &amp; ROW()))</f>
        <v/>
      </c>
      <c r="E438" s="8" t="str" cm="1">
        <f t="array" aca="1" ref="E438" ca="1">IF(INDIRECT("'Student_Record 1'!I" &amp; ROW())="", "", INDIRECT("'Student_Record 1'!I" &amp; ROW()))</f>
        <v/>
      </c>
      <c r="F438" s="8" t="str" cm="1">
        <f t="array" aca="1" ref="F438" ca="1">IF(INDIRECT("'Student_Record 1'!O" &amp; ROW())="", "", INDIRECT("'Student_Record 1'!O" &amp; ROW()))</f>
        <v/>
      </c>
      <c r="G438" s="11"/>
      <c r="I438" s="11"/>
      <c r="J438" s="11"/>
      <c r="K438" s="11"/>
      <c r="L438" s="11"/>
      <c r="M438" s="11"/>
      <c r="N438" s="11"/>
      <c r="O438" s="11"/>
      <c r="P438" s="11"/>
      <c r="Q438" s="11"/>
    </row>
    <row r="439" spans="1:17" x14ac:dyDescent="0.25">
      <c r="A439" s="8" t="str" cm="1">
        <f t="array" aca="1" ref="A439" ca="1">IF(INDIRECT("'Student_Record 1'!A" &amp; ROW())="", "", INDIRECT("'Student_Record 1'!A" &amp; ROW()))</f>
        <v/>
      </c>
      <c r="B439" s="8" t="str" cm="1">
        <f t="array" aca="1" ref="B439" ca="1">IF(INDIRECT("'Student_Record 1'!C" &amp; ROW())="", "", INDIRECT("'Student_Record 1'!C" &amp; ROW()))</f>
        <v/>
      </c>
      <c r="C439" s="8" t="str" cm="1">
        <f t="array" aca="1" ref="C439" ca="1">IF(INDIRECT("'Student_Record 1'!E" &amp; ROW())="", "", INDIRECT("'Student_Record 1'!E" &amp; ROW()))</f>
        <v/>
      </c>
      <c r="D439" s="8" t="str" cm="1">
        <f t="array" aca="1" ref="D439" ca="1">IF(INDIRECT("'Student_Record 1'!G" &amp; ROW())="", "", INDIRECT("'Student_Record 1'!G" &amp; ROW()))</f>
        <v/>
      </c>
      <c r="E439" s="8" t="str" cm="1">
        <f t="array" aca="1" ref="E439" ca="1">IF(INDIRECT("'Student_Record 1'!I" &amp; ROW())="", "", INDIRECT("'Student_Record 1'!I" &amp; ROW()))</f>
        <v/>
      </c>
      <c r="F439" s="8" t="str" cm="1">
        <f t="array" aca="1" ref="F439" ca="1">IF(INDIRECT("'Student_Record 1'!O" &amp; ROW())="", "", INDIRECT("'Student_Record 1'!O" &amp; ROW()))</f>
        <v/>
      </c>
      <c r="G439" s="11"/>
      <c r="I439" s="11"/>
      <c r="J439" s="11"/>
      <c r="K439" s="11"/>
      <c r="L439" s="11"/>
      <c r="M439" s="11"/>
      <c r="N439" s="11"/>
      <c r="O439" s="11"/>
      <c r="P439" s="11"/>
      <c r="Q439" s="11"/>
    </row>
    <row r="440" spans="1:17" x14ac:dyDescent="0.25">
      <c r="A440" s="8" t="str" cm="1">
        <f t="array" aca="1" ref="A440" ca="1">IF(INDIRECT("'Student_Record 1'!A" &amp; ROW())="", "", INDIRECT("'Student_Record 1'!A" &amp; ROW()))</f>
        <v/>
      </c>
      <c r="B440" s="8" t="str" cm="1">
        <f t="array" aca="1" ref="B440" ca="1">IF(INDIRECT("'Student_Record 1'!C" &amp; ROW())="", "", INDIRECT("'Student_Record 1'!C" &amp; ROW()))</f>
        <v/>
      </c>
      <c r="C440" s="8" t="str" cm="1">
        <f t="array" aca="1" ref="C440" ca="1">IF(INDIRECT("'Student_Record 1'!E" &amp; ROW())="", "", INDIRECT("'Student_Record 1'!E" &amp; ROW()))</f>
        <v/>
      </c>
      <c r="D440" s="8" t="str" cm="1">
        <f t="array" aca="1" ref="D440" ca="1">IF(INDIRECT("'Student_Record 1'!G" &amp; ROW())="", "", INDIRECT("'Student_Record 1'!G" &amp; ROW()))</f>
        <v/>
      </c>
      <c r="E440" s="8" t="str" cm="1">
        <f t="array" aca="1" ref="E440" ca="1">IF(INDIRECT("'Student_Record 1'!I" &amp; ROW())="", "", INDIRECT("'Student_Record 1'!I" &amp; ROW()))</f>
        <v/>
      </c>
      <c r="F440" s="8" t="str" cm="1">
        <f t="array" aca="1" ref="F440" ca="1">IF(INDIRECT("'Student_Record 1'!O" &amp; ROW())="", "", INDIRECT("'Student_Record 1'!O" &amp; ROW()))</f>
        <v/>
      </c>
      <c r="G440" s="11"/>
      <c r="I440" s="11"/>
      <c r="J440" s="11"/>
      <c r="K440" s="11"/>
      <c r="L440" s="11"/>
      <c r="M440" s="11"/>
      <c r="N440" s="11"/>
      <c r="O440" s="11"/>
      <c r="P440" s="11"/>
      <c r="Q440" s="11"/>
    </row>
    <row r="441" spans="1:17" x14ac:dyDescent="0.25">
      <c r="A441" s="8" t="str" cm="1">
        <f t="array" aca="1" ref="A441" ca="1">IF(INDIRECT("'Student_Record 1'!A" &amp; ROW())="", "", INDIRECT("'Student_Record 1'!A" &amp; ROW()))</f>
        <v/>
      </c>
      <c r="B441" s="8" t="str" cm="1">
        <f t="array" aca="1" ref="B441" ca="1">IF(INDIRECT("'Student_Record 1'!C" &amp; ROW())="", "", INDIRECT("'Student_Record 1'!C" &amp; ROW()))</f>
        <v/>
      </c>
      <c r="C441" s="8" t="str" cm="1">
        <f t="array" aca="1" ref="C441" ca="1">IF(INDIRECT("'Student_Record 1'!E" &amp; ROW())="", "", INDIRECT("'Student_Record 1'!E" &amp; ROW()))</f>
        <v/>
      </c>
      <c r="D441" s="8" t="str" cm="1">
        <f t="array" aca="1" ref="D441" ca="1">IF(INDIRECT("'Student_Record 1'!G" &amp; ROW())="", "", INDIRECT("'Student_Record 1'!G" &amp; ROW()))</f>
        <v/>
      </c>
      <c r="E441" s="8" t="str" cm="1">
        <f t="array" aca="1" ref="E441" ca="1">IF(INDIRECT("'Student_Record 1'!I" &amp; ROW())="", "", INDIRECT("'Student_Record 1'!I" &amp; ROW()))</f>
        <v/>
      </c>
      <c r="F441" s="8" t="str" cm="1">
        <f t="array" aca="1" ref="F441" ca="1">IF(INDIRECT("'Student_Record 1'!O" &amp; ROW())="", "", INDIRECT("'Student_Record 1'!O" &amp; ROW()))</f>
        <v/>
      </c>
      <c r="G441" s="11"/>
      <c r="I441" s="11"/>
      <c r="J441" s="11"/>
      <c r="K441" s="11"/>
      <c r="L441" s="11"/>
      <c r="M441" s="11"/>
      <c r="N441" s="11"/>
      <c r="O441" s="11"/>
      <c r="P441" s="11"/>
      <c r="Q441" s="11"/>
    </row>
    <row r="442" spans="1:17" x14ac:dyDescent="0.25">
      <c r="A442" s="8" t="str" cm="1">
        <f t="array" aca="1" ref="A442" ca="1">IF(INDIRECT("'Student_Record 1'!A" &amp; ROW())="", "", INDIRECT("'Student_Record 1'!A" &amp; ROW()))</f>
        <v/>
      </c>
      <c r="B442" s="8" t="str" cm="1">
        <f t="array" aca="1" ref="B442" ca="1">IF(INDIRECT("'Student_Record 1'!C" &amp; ROW())="", "", INDIRECT("'Student_Record 1'!C" &amp; ROW()))</f>
        <v/>
      </c>
      <c r="C442" s="8" t="str" cm="1">
        <f t="array" aca="1" ref="C442" ca="1">IF(INDIRECT("'Student_Record 1'!E" &amp; ROW())="", "", INDIRECT("'Student_Record 1'!E" &amp; ROW()))</f>
        <v/>
      </c>
      <c r="D442" s="8" t="str" cm="1">
        <f t="array" aca="1" ref="D442" ca="1">IF(INDIRECT("'Student_Record 1'!G" &amp; ROW())="", "", INDIRECT("'Student_Record 1'!G" &amp; ROW()))</f>
        <v/>
      </c>
      <c r="E442" s="8" t="str" cm="1">
        <f t="array" aca="1" ref="E442" ca="1">IF(INDIRECT("'Student_Record 1'!I" &amp; ROW())="", "", INDIRECT("'Student_Record 1'!I" &amp; ROW()))</f>
        <v/>
      </c>
      <c r="F442" s="8" t="str" cm="1">
        <f t="array" aca="1" ref="F442" ca="1">IF(INDIRECT("'Student_Record 1'!O" &amp; ROW())="", "", INDIRECT("'Student_Record 1'!O" &amp; ROW()))</f>
        <v/>
      </c>
      <c r="G442" s="11"/>
      <c r="I442" s="11"/>
      <c r="J442" s="11"/>
      <c r="K442" s="11"/>
      <c r="L442" s="11"/>
      <c r="M442" s="11"/>
      <c r="N442" s="11"/>
      <c r="O442" s="11"/>
      <c r="P442" s="11"/>
      <c r="Q442" s="11"/>
    </row>
    <row r="443" spans="1:17" x14ac:dyDescent="0.25">
      <c r="A443" s="8" t="str" cm="1">
        <f t="array" aca="1" ref="A443" ca="1">IF(INDIRECT("'Student_Record 1'!A" &amp; ROW())="", "", INDIRECT("'Student_Record 1'!A" &amp; ROW()))</f>
        <v/>
      </c>
      <c r="B443" s="8" t="str" cm="1">
        <f t="array" aca="1" ref="B443" ca="1">IF(INDIRECT("'Student_Record 1'!C" &amp; ROW())="", "", INDIRECT("'Student_Record 1'!C" &amp; ROW()))</f>
        <v/>
      </c>
      <c r="C443" s="8" t="str" cm="1">
        <f t="array" aca="1" ref="C443" ca="1">IF(INDIRECT("'Student_Record 1'!E" &amp; ROW())="", "", INDIRECT("'Student_Record 1'!E" &amp; ROW()))</f>
        <v/>
      </c>
      <c r="D443" s="8" t="str" cm="1">
        <f t="array" aca="1" ref="D443" ca="1">IF(INDIRECT("'Student_Record 1'!G" &amp; ROW())="", "", INDIRECT("'Student_Record 1'!G" &amp; ROW()))</f>
        <v/>
      </c>
      <c r="E443" s="8" t="str" cm="1">
        <f t="array" aca="1" ref="E443" ca="1">IF(INDIRECT("'Student_Record 1'!I" &amp; ROW())="", "", INDIRECT("'Student_Record 1'!I" &amp; ROW()))</f>
        <v/>
      </c>
      <c r="F443" s="8" t="str" cm="1">
        <f t="array" aca="1" ref="F443" ca="1">IF(INDIRECT("'Student_Record 1'!O" &amp; ROW())="", "", INDIRECT("'Student_Record 1'!O" &amp; ROW()))</f>
        <v/>
      </c>
      <c r="G443" s="11"/>
      <c r="I443" s="11"/>
      <c r="J443" s="11"/>
      <c r="K443" s="11"/>
      <c r="L443" s="11"/>
      <c r="M443" s="11"/>
      <c r="N443" s="11"/>
      <c r="O443" s="11"/>
      <c r="P443" s="11"/>
      <c r="Q443" s="11"/>
    </row>
    <row r="444" spans="1:17" x14ac:dyDescent="0.25">
      <c r="A444" s="8" t="str" cm="1">
        <f t="array" aca="1" ref="A444" ca="1">IF(INDIRECT("'Student_Record 1'!A" &amp; ROW())="", "", INDIRECT("'Student_Record 1'!A" &amp; ROW()))</f>
        <v/>
      </c>
      <c r="B444" s="8" t="str" cm="1">
        <f t="array" aca="1" ref="B444" ca="1">IF(INDIRECT("'Student_Record 1'!C" &amp; ROW())="", "", INDIRECT("'Student_Record 1'!C" &amp; ROW()))</f>
        <v/>
      </c>
      <c r="C444" s="8" t="str" cm="1">
        <f t="array" aca="1" ref="C444" ca="1">IF(INDIRECT("'Student_Record 1'!E" &amp; ROW())="", "", INDIRECT("'Student_Record 1'!E" &amp; ROW()))</f>
        <v/>
      </c>
      <c r="D444" s="8" t="str" cm="1">
        <f t="array" aca="1" ref="D444" ca="1">IF(INDIRECT("'Student_Record 1'!G" &amp; ROW())="", "", INDIRECT("'Student_Record 1'!G" &amp; ROW()))</f>
        <v/>
      </c>
      <c r="E444" s="8" t="str" cm="1">
        <f t="array" aca="1" ref="E444" ca="1">IF(INDIRECT("'Student_Record 1'!I" &amp; ROW())="", "", INDIRECT("'Student_Record 1'!I" &amp; ROW()))</f>
        <v/>
      </c>
      <c r="F444" s="8" t="str" cm="1">
        <f t="array" aca="1" ref="F444" ca="1">IF(INDIRECT("'Student_Record 1'!O" &amp; ROW())="", "", INDIRECT("'Student_Record 1'!O" &amp; ROW()))</f>
        <v/>
      </c>
      <c r="G444" s="11"/>
      <c r="I444" s="11"/>
      <c r="J444" s="11"/>
      <c r="K444" s="11"/>
      <c r="L444" s="11"/>
      <c r="M444" s="11"/>
      <c r="N444" s="11"/>
      <c r="O444" s="11"/>
      <c r="P444" s="11"/>
      <c r="Q444" s="11"/>
    </row>
    <row r="445" spans="1:17" x14ac:dyDescent="0.25">
      <c r="A445" s="8" t="str" cm="1">
        <f t="array" aca="1" ref="A445" ca="1">IF(INDIRECT("'Student_Record 1'!A" &amp; ROW())="", "", INDIRECT("'Student_Record 1'!A" &amp; ROW()))</f>
        <v/>
      </c>
      <c r="B445" s="8" t="str" cm="1">
        <f t="array" aca="1" ref="B445" ca="1">IF(INDIRECT("'Student_Record 1'!C" &amp; ROW())="", "", INDIRECT("'Student_Record 1'!C" &amp; ROW()))</f>
        <v/>
      </c>
      <c r="C445" s="8" t="str" cm="1">
        <f t="array" aca="1" ref="C445" ca="1">IF(INDIRECT("'Student_Record 1'!E" &amp; ROW())="", "", INDIRECT("'Student_Record 1'!E" &amp; ROW()))</f>
        <v/>
      </c>
      <c r="D445" s="8" t="str" cm="1">
        <f t="array" aca="1" ref="D445" ca="1">IF(INDIRECT("'Student_Record 1'!G" &amp; ROW())="", "", INDIRECT("'Student_Record 1'!G" &amp; ROW()))</f>
        <v/>
      </c>
      <c r="E445" s="8" t="str" cm="1">
        <f t="array" aca="1" ref="E445" ca="1">IF(INDIRECT("'Student_Record 1'!I" &amp; ROW())="", "", INDIRECT("'Student_Record 1'!I" &amp; ROW()))</f>
        <v/>
      </c>
      <c r="F445" s="8" t="str" cm="1">
        <f t="array" aca="1" ref="F445" ca="1">IF(INDIRECT("'Student_Record 1'!O" &amp; ROW())="", "", INDIRECT("'Student_Record 1'!O" &amp; ROW()))</f>
        <v/>
      </c>
      <c r="G445" s="11"/>
      <c r="I445" s="11"/>
      <c r="J445" s="11"/>
      <c r="K445" s="11"/>
      <c r="L445" s="11"/>
      <c r="M445" s="11"/>
      <c r="N445" s="11"/>
      <c r="O445" s="11"/>
      <c r="P445" s="11"/>
      <c r="Q445" s="11"/>
    </row>
    <row r="446" spans="1:17" x14ac:dyDescent="0.25">
      <c r="A446" s="8" t="str" cm="1">
        <f t="array" aca="1" ref="A446" ca="1">IF(INDIRECT("'Student_Record 1'!A" &amp; ROW())="", "", INDIRECT("'Student_Record 1'!A" &amp; ROW()))</f>
        <v/>
      </c>
      <c r="B446" s="8" t="str" cm="1">
        <f t="array" aca="1" ref="B446" ca="1">IF(INDIRECT("'Student_Record 1'!C" &amp; ROW())="", "", INDIRECT("'Student_Record 1'!C" &amp; ROW()))</f>
        <v/>
      </c>
      <c r="C446" s="8" t="str" cm="1">
        <f t="array" aca="1" ref="C446" ca="1">IF(INDIRECT("'Student_Record 1'!E" &amp; ROW())="", "", INDIRECT("'Student_Record 1'!E" &amp; ROW()))</f>
        <v/>
      </c>
      <c r="D446" s="8" t="str" cm="1">
        <f t="array" aca="1" ref="D446" ca="1">IF(INDIRECT("'Student_Record 1'!G" &amp; ROW())="", "", INDIRECT("'Student_Record 1'!G" &amp; ROW()))</f>
        <v/>
      </c>
      <c r="E446" s="8" t="str" cm="1">
        <f t="array" aca="1" ref="E446" ca="1">IF(INDIRECT("'Student_Record 1'!I" &amp; ROW())="", "", INDIRECT("'Student_Record 1'!I" &amp; ROW()))</f>
        <v/>
      </c>
      <c r="F446" s="8" t="str" cm="1">
        <f t="array" aca="1" ref="F446" ca="1">IF(INDIRECT("'Student_Record 1'!O" &amp; ROW())="", "", INDIRECT("'Student_Record 1'!O" &amp; ROW()))</f>
        <v/>
      </c>
      <c r="G446" s="11"/>
      <c r="I446" s="11"/>
      <c r="J446" s="11"/>
      <c r="K446" s="11"/>
      <c r="L446" s="11"/>
      <c r="M446" s="11"/>
      <c r="N446" s="11"/>
      <c r="O446" s="11"/>
      <c r="P446" s="11"/>
      <c r="Q446" s="11"/>
    </row>
    <row r="447" spans="1:17" x14ac:dyDescent="0.25">
      <c r="A447" s="8" t="str" cm="1">
        <f t="array" aca="1" ref="A447" ca="1">IF(INDIRECT("'Student_Record 1'!A" &amp; ROW())="", "", INDIRECT("'Student_Record 1'!A" &amp; ROW()))</f>
        <v/>
      </c>
      <c r="B447" s="8" t="str" cm="1">
        <f t="array" aca="1" ref="B447" ca="1">IF(INDIRECT("'Student_Record 1'!C" &amp; ROW())="", "", INDIRECT("'Student_Record 1'!C" &amp; ROW()))</f>
        <v/>
      </c>
      <c r="C447" s="8" t="str" cm="1">
        <f t="array" aca="1" ref="C447" ca="1">IF(INDIRECT("'Student_Record 1'!E" &amp; ROW())="", "", INDIRECT("'Student_Record 1'!E" &amp; ROW()))</f>
        <v/>
      </c>
      <c r="D447" s="8" t="str" cm="1">
        <f t="array" aca="1" ref="D447" ca="1">IF(INDIRECT("'Student_Record 1'!G" &amp; ROW())="", "", INDIRECT("'Student_Record 1'!G" &amp; ROW()))</f>
        <v/>
      </c>
      <c r="E447" s="8" t="str" cm="1">
        <f t="array" aca="1" ref="E447" ca="1">IF(INDIRECT("'Student_Record 1'!I" &amp; ROW())="", "", INDIRECT("'Student_Record 1'!I" &amp; ROW()))</f>
        <v/>
      </c>
      <c r="F447" s="8" t="str" cm="1">
        <f t="array" aca="1" ref="F447" ca="1">IF(INDIRECT("'Student_Record 1'!O" &amp; ROW())="", "", INDIRECT("'Student_Record 1'!O" &amp; ROW()))</f>
        <v/>
      </c>
      <c r="G447" s="11"/>
      <c r="I447" s="11"/>
      <c r="J447" s="11"/>
      <c r="K447" s="11"/>
      <c r="L447" s="11"/>
      <c r="M447" s="11"/>
      <c r="N447" s="11"/>
      <c r="O447" s="11"/>
      <c r="P447" s="11"/>
      <c r="Q447" s="11"/>
    </row>
    <row r="448" spans="1:17" x14ac:dyDescent="0.25">
      <c r="A448" s="8" t="str" cm="1">
        <f t="array" aca="1" ref="A448" ca="1">IF(INDIRECT("'Student_Record 1'!A" &amp; ROW())="", "", INDIRECT("'Student_Record 1'!A" &amp; ROW()))</f>
        <v/>
      </c>
      <c r="B448" s="8" t="str" cm="1">
        <f t="array" aca="1" ref="B448" ca="1">IF(INDIRECT("'Student_Record 1'!C" &amp; ROW())="", "", INDIRECT("'Student_Record 1'!C" &amp; ROW()))</f>
        <v/>
      </c>
      <c r="C448" s="8" t="str" cm="1">
        <f t="array" aca="1" ref="C448" ca="1">IF(INDIRECT("'Student_Record 1'!E" &amp; ROW())="", "", INDIRECT("'Student_Record 1'!E" &amp; ROW()))</f>
        <v/>
      </c>
      <c r="D448" s="8" t="str" cm="1">
        <f t="array" aca="1" ref="D448" ca="1">IF(INDIRECT("'Student_Record 1'!G" &amp; ROW())="", "", INDIRECT("'Student_Record 1'!G" &amp; ROW()))</f>
        <v/>
      </c>
      <c r="E448" s="8" t="str" cm="1">
        <f t="array" aca="1" ref="E448" ca="1">IF(INDIRECT("'Student_Record 1'!I" &amp; ROW())="", "", INDIRECT("'Student_Record 1'!I" &amp; ROW()))</f>
        <v/>
      </c>
      <c r="F448" s="8" t="str" cm="1">
        <f t="array" aca="1" ref="F448" ca="1">IF(INDIRECT("'Student_Record 1'!O" &amp; ROW())="", "", INDIRECT("'Student_Record 1'!O" &amp; ROW()))</f>
        <v/>
      </c>
      <c r="G448" s="11"/>
      <c r="I448" s="11"/>
      <c r="J448" s="11"/>
      <c r="K448" s="11"/>
      <c r="L448" s="11"/>
      <c r="M448" s="11"/>
      <c r="N448" s="11"/>
      <c r="O448" s="11"/>
      <c r="P448" s="11"/>
      <c r="Q448" s="11"/>
    </row>
    <row r="449" spans="1:17" x14ac:dyDescent="0.25">
      <c r="A449" s="8" t="str" cm="1">
        <f t="array" aca="1" ref="A449" ca="1">IF(INDIRECT("'Student_Record 1'!A" &amp; ROW())="", "", INDIRECT("'Student_Record 1'!A" &amp; ROW()))</f>
        <v/>
      </c>
      <c r="B449" s="8" t="str" cm="1">
        <f t="array" aca="1" ref="B449" ca="1">IF(INDIRECT("'Student_Record 1'!C" &amp; ROW())="", "", INDIRECT("'Student_Record 1'!C" &amp; ROW()))</f>
        <v/>
      </c>
      <c r="C449" s="8" t="str" cm="1">
        <f t="array" aca="1" ref="C449" ca="1">IF(INDIRECT("'Student_Record 1'!E" &amp; ROW())="", "", INDIRECT("'Student_Record 1'!E" &amp; ROW()))</f>
        <v/>
      </c>
      <c r="D449" s="8" t="str" cm="1">
        <f t="array" aca="1" ref="D449" ca="1">IF(INDIRECT("'Student_Record 1'!G" &amp; ROW())="", "", INDIRECT("'Student_Record 1'!G" &amp; ROW()))</f>
        <v/>
      </c>
      <c r="E449" s="8" t="str" cm="1">
        <f t="array" aca="1" ref="E449" ca="1">IF(INDIRECT("'Student_Record 1'!I" &amp; ROW())="", "", INDIRECT("'Student_Record 1'!I" &amp; ROW()))</f>
        <v/>
      </c>
      <c r="F449" s="8" t="str" cm="1">
        <f t="array" aca="1" ref="F449" ca="1">IF(INDIRECT("'Student_Record 1'!O" &amp; ROW())="", "", INDIRECT("'Student_Record 1'!O" &amp; ROW()))</f>
        <v/>
      </c>
      <c r="G449" s="11"/>
      <c r="I449" s="11"/>
      <c r="J449" s="11"/>
      <c r="K449" s="11"/>
      <c r="L449" s="11"/>
      <c r="M449" s="11"/>
      <c r="N449" s="11"/>
      <c r="O449" s="11"/>
      <c r="P449" s="11"/>
      <c r="Q449" s="11"/>
    </row>
    <row r="450" spans="1:17" x14ac:dyDescent="0.25">
      <c r="A450" s="8" t="str" cm="1">
        <f t="array" aca="1" ref="A450" ca="1">IF(INDIRECT("'Student_Record 1'!A" &amp; ROW())="", "", INDIRECT("'Student_Record 1'!A" &amp; ROW()))</f>
        <v/>
      </c>
      <c r="B450" s="8" t="str" cm="1">
        <f t="array" aca="1" ref="B450" ca="1">IF(INDIRECT("'Student_Record 1'!C" &amp; ROW())="", "", INDIRECT("'Student_Record 1'!C" &amp; ROW()))</f>
        <v/>
      </c>
      <c r="C450" s="8" t="str" cm="1">
        <f t="array" aca="1" ref="C450" ca="1">IF(INDIRECT("'Student_Record 1'!E" &amp; ROW())="", "", INDIRECT("'Student_Record 1'!E" &amp; ROW()))</f>
        <v/>
      </c>
      <c r="D450" s="8" t="str" cm="1">
        <f t="array" aca="1" ref="D450" ca="1">IF(INDIRECT("'Student_Record 1'!G" &amp; ROW())="", "", INDIRECT("'Student_Record 1'!G" &amp; ROW()))</f>
        <v/>
      </c>
      <c r="E450" s="8" t="str" cm="1">
        <f t="array" aca="1" ref="E450" ca="1">IF(INDIRECT("'Student_Record 1'!I" &amp; ROW())="", "", INDIRECT("'Student_Record 1'!I" &amp; ROW()))</f>
        <v/>
      </c>
      <c r="F450" s="8" t="str" cm="1">
        <f t="array" aca="1" ref="F450" ca="1">IF(INDIRECT("'Student_Record 1'!O" &amp; ROW())="", "", INDIRECT("'Student_Record 1'!O" &amp; ROW()))</f>
        <v/>
      </c>
      <c r="G450" s="11"/>
      <c r="I450" s="11"/>
      <c r="J450" s="11"/>
      <c r="K450" s="11"/>
      <c r="L450" s="11"/>
      <c r="M450" s="11"/>
      <c r="N450" s="11"/>
      <c r="O450" s="11"/>
      <c r="P450" s="11"/>
      <c r="Q450" s="11"/>
    </row>
    <row r="451" spans="1:17" x14ac:dyDescent="0.25">
      <c r="A451" s="8" t="str" cm="1">
        <f t="array" aca="1" ref="A451" ca="1">IF(INDIRECT("'Student_Record 1'!A" &amp; ROW())="", "", INDIRECT("'Student_Record 1'!A" &amp; ROW()))</f>
        <v/>
      </c>
      <c r="B451" s="8" t="str" cm="1">
        <f t="array" aca="1" ref="B451" ca="1">IF(INDIRECT("'Student_Record 1'!C" &amp; ROW())="", "", INDIRECT("'Student_Record 1'!C" &amp; ROW()))</f>
        <v/>
      </c>
      <c r="C451" s="8" t="str" cm="1">
        <f t="array" aca="1" ref="C451" ca="1">IF(INDIRECT("'Student_Record 1'!E" &amp; ROW())="", "", INDIRECT("'Student_Record 1'!E" &amp; ROW()))</f>
        <v/>
      </c>
      <c r="D451" s="8" t="str" cm="1">
        <f t="array" aca="1" ref="D451" ca="1">IF(INDIRECT("'Student_Record 1'!G" &amp; ROW())="", "", INDIRECT("'Student_Record 1'!G" &amp; ROW()))</f>
        <v/>
      </c>
      <c r="E451" s="8" t="str" cm="1">
        <f t="array" aca="1" ref="E451" ca="1">IF(INDIRECT("'Student_Record 1'!I" &amp; ROW())="", "", INDIRECT("'Student_Record 1'!I" &amp; ROW()))</f>
        <v/>
      </c>
      <c r="F451" s="8" t="str" cm="1">
        <f t="array" aca="1" ref="F451" ca="1">IF(INDIRECT("'Student_Record 1'!O" &amp; ROW())="", "", INDIRECT("'Student_Record 1'!O" &amp; ROW()))</f>
        <v/>
      </c>
      <c r="G451" s="11"/>
      <c r="I451" s="11"/>
      <c r="J451" s="11"/>
      <c r="K451" s="11"/>
      <c r="L451" s="11"/>
      <c r="M451" s="11"/>
      <c r="N451" s="11"/>
      <c r="O451" s="11"/>
      <c r="P451" s="11"/>
      <c r="Q451" s="11"/>
    </row>
    <row r="452" spans="1:17" x14ac:dyDescent="0.25">
      <c r="A452" s="8" t="str" cm="1">
        <f t="array" aca="1" ref="A452" ca="1">IF(INDIRECT("'Student_Record 1'!A" &amp; ROW())="", "", INDIRECT("'Student_Record 1'!A" &amp; ROW()))</f>
        <v/>
      </c>
      <c r="B452" s="8" t="str" cm="1">
        <f t="array" aca="1" ref="B452" ca="1">IF(INDIRECT("'Student_Record 1'!C" &amp; ROW())="", "", INDIRECT("'Student_Record 1'!C" &amp; ROW()))</f>
        <v/>
      </c>
      <c r="C452" s="8" t="str" cm="1">
        <f t="array" aca="1" ref="C452" ca="1">IF(INDIRECT("'Student_Record 1'!E" &amp; ROW())="", "", INDIRECT("'Student_Record 1'!E" &amp; ROW()))</f>
        <v/>
      </c>
      <c r="D452" s="8" t="str" cm="1">
        <f t="array" aca="1" ref="D452" ca="1">IF(INDIRECT("'Student_Record 1'!G" &amp; ROW())="", "", INDIRECT("'Student_Record 1'!G" &amp; ROW()))</f>
        <v/>
      </c>
      <c r="E452" s="8" t="str" cm="1">
        <f t="array" aca="1" ref="E452" ca="1">IF(INDIRECT("'Student_Record 1'!I" &amp; ROW())="", "", INDIRECT("'Student_Record 1'!I" &amp; ROW()))</f>
        <v/>
      </c>
      <c r="F452" s="8" t="str" cm="1">
        <f t="array" aca="1" ref="F452" ca="1">IF(INDIRECT("'Student_Record 1'!O" &amp; ROW())="", "", INDIRECT("'Student_Record 1'!O" &amp; ROW()))</f>
        <v/>
      </c>
      <c r="G452" s="11"/>
      <c r="I452" s="11"/>
      <c r="J452" s="11"/>
      <c r="K452" s="11"/>
      <c r="L452" s="11"/>
      <c r="M452" s="11"/>
      <c r="N452" s="11"/>
      <c r="O452" s="11"/>
      <c r="P452" s="11"/>
      <c r="Q452" s="11"/>
    </row>
    <row r="453" spans="1:17" x14ac:dyDescent="0.25">
      <c r="A453" s="8" t="str" cm="1">
        <f t="array" aca="1" ref="A453" ca="1">IF(INDIRECT("'Student_Record 1'!A" &amp; ROW())="", "", INDIRECT("'Student_Record 1'!A" &amp; ROW()))</f>
        <v/>
      </c>
      <c r="B453" s="8" t="str" cm="1">
        <f t="array" aca="1" ref="B453" ca="1">IF(INDIRECT("'Student_Record 1'!C" &amp; ROW())="", "", INDIRECT("'Student_Record 1'!C" &amp; ROW()))</f>
        <v/>
      </c>
      <c r="C453" s="8" t="str" cm="1">
        <f t="array" aca="1" ref="C453" ca="1">IF(INDIRECT("'Student_Record 1'!E" &amp; ROW())="", "", INDIRECT("'Student_Record 1'!E" &amp; ROW()))</f>
        <v/>
      </c>
      <c r="D453" s="8" t="str" cm="1">
        <f t="array" aca="1" ref="D453" ca="1">IF(INDIRECT("'Student_Record 1'!G" &amp; ROW())="", "", INDIRECT("'Student_Record 1'!G" &amp; ROW()))</f>
        <v/>
      </c>
      <c r="E453" s="8" t="str" cm="1">
        <f t="array" aca="1" ref="E453" ca="1">IF(INDIRECT("'Student_Record 1'!I" &amp; ROW())="", "", INDIRECT("'Student_Record 1'!I" &amp; ROW()))</f>
        <v/>
      </c>
      <c r="F453" s="8" t="str" cm="1">
        <f t="array" aca="1" ref="F453" ca="1">IF(INDIRECT("'Student_Record 1'!O" &amp; ROW())="", "", INDIRECT("'Student_Record 1'!O" &amp; ROW()))</f>
        <v/>
      </c>
      <c r="G453" s="11"/>
      <c r="I453" s="11"/>
      <c r="J453" s="11"/>
      <c r="K453" s="11"/>
      <c r="L453" s="11"/>
      <c r="M453" s="11"/>
      <c r="N453" s="11"/>
      <c r="O453" s="11"/>
      <c r="P453" s="11"/>
      <c r="Q453" s="11"/>
    </row>
    <row r="454" spans="1:17" x14ac:dyDescent="0.25">
      <c r="A454" s="8" t="str" cm="1">
        <f t="array" aca="1" ref="A454" ca="1">IF(INDIRECT("'Student_Record 1'!A" &amp; ROW())="", "", INDIRECT("'Student_Record 1'!A" &amp; ROW()))</f>
        <v/>
      </c>
      <c r="B454" s="8" t="str" cm="1">
        <f t="array" aca="1" ref="B454" ca="1">IF(INDIRECT("'Student_Record 1'!C" &amp; ROW())="", "", INDIRECT("'Student_Record 1'!C" &amp; ROW()))</f>
        <v/>
      </c>
      <c r="C454" s="8" t="str" cm="1">
        <f t="array" aca="1" ref="C454" ca="1">IF(INDIRECT("'Student_Record 1'!E" &amp; ROW())="", "", INDIRECT("'Student_Record 1'!E" &amp; ROW()))</f>
        <v/>
      </c>
      <c r="D454" s="8" t="str" cm="1">
        <f t="array" aca="1" ref="D454" ca="1">IF(INDIRECT("'Student_Record 1'!G" &amp; ROW())="", "", INDIRECT("'Student_Record 1'!G" &amp; ROW()))</f>
        <v/>
      </c>
      <c r="E454" s="8" t="str" cm="1">
        <f t="array" aca="1" ref="E454" ca="1">IF(INDIRECT("'Student_Record 1'!I" &amp; ROW())="", "", INDIRECT("'Student_Record 1'!I" &amp; ROW()))</f>
        <v/>
      </c>
      <c r="F454" s="8" t="str" cm="1">
        <f t="array" aca="1" ref="F454" ca="1">IF(INDIRECT("'Student_Record 1'!O" &amp; ROW())="", "", INDIRECT("'Student_Record 1'!O" &amp; ROW()))</f>
        <v/>
      </c>
      <c r="G454" s="11"/>
      <c r="I454" s="11"/>
      <c r="J454" s="11"/>
      <c r="K454" s="11"/>
      <c r="L454" s="11"/>
      <c r="M454" s="11"/>
      <c r="N454" s="11"/>
      <c r="O454" s="11"/>
      <c r="P454" s="11"/>
      <c r="Q454" s="11"/>
    </row>
    <row r="455" spans="1:17" x14ac:dyDescent="0.25">
      <c r="A455" s="8" t="str" cm="1">
        <f t="array" aca="1" ref="A455" ca="1">IF(INDIRECT("'Student_Record 1'!A" &amp; ROW())="", "", INDIRECT("'Student_Record 1'!A" &amp; ROW()))</f>
        <v/>
      </c>
      <c r="B455" s="8" t="str" cm="1">
        <f t="array" aca="1" ref="B455" ca="1">IF(INDIRECT("'Student_Record 1'!C" &amp; ROW())="", "", INDIRECT("'Student_Record 1'!C" &amp; ROW()))</f>
        <v/>
      </c>
      <c r="C455" s="8" t="str" cm="1">
        <f t="array" aca="1" ref="C455" ca="1">IF(INDIRECT("'Student_Record 1'!E" &amp; ROW())="", "", INDIRECT("'Student_Record 1'!E" &amp; ROW()))</f>
        <v/>
      </c>
      <c r="D455" s="8" t="str" cm="1">
        <f t="array" aca="1" ref="D455" ca="1">IF(INDIRECT("'Student_Record 1'!G" &amp; ROW())="", "", INDIRECT("'Student_Record 1'!G" &amp; ROW()))</f>
        <v/>
      </c>
      <c r="E455" s="8" t="str" cm="1">
        <f t="array" aca="1" ref="E455" ca="1">IF(INDIRECT("'Student_Record 1'!I" &amp; ROW())="", "", INDIRECT("'Student_Record 1'!I" &amp; ROW()))</f>
        <v/>
      </c>
      <c r="F455" s="8" t="str" cm="1">
        <f t="array" aca="1" ref="F455" ca="1">IF(INDIRECT("'Student_Record 1'!O" &amp; ROW())="", "", INDIRECT("'Student_Record 1'!O" &amp; ROW()))</f>
        <v/>
      </c>
      <c r="G455" s="11"/>
      <c r="I455" s="11"/>
      <c r="J455" s="11"/>
      <c r="K455" s="11"/>
      <c r="L455" s="11"/>
      <c r="M455" s="11"/>
      <c r="N455" s="11"/>
      <c r="O455" s="11"/>
      <c r="P455" s="11"/>
      <c r="Q455" s="11"/>
    </row>
    <row r="456" spans="1:17" x14ac:dyDescent="0.25">
      <c r="A456" s="8" t="str" cm="1">
        <f t="array" aca="1" ref="A456" ca="1">IF(INDIRECT("'Student_Record 1'!A" &amp; ROW())="", "", INDIRECT("'Student_Record 1'!A" &amp; ROW()))</f>
        <v/>
      </c>
      <c r="B456" s="8" t="str" cm="1">
        <f t="array" aca="1" ref="B456" ca="1">IF(INDIRECT("'Student_Record 1'!C" &amp; ROW())="", "", INDIRECT("'Student_Record 1'!C" &amp; ROW()))</f>
        <v/>
      </c>
      <c r="C456" s="8" t="str" cm="1">
        <f t="array" aca="1" ref="C456" ca="1">IF(INDIRECT("'Student_Record 1'!E" &amp; ROW())="", "", INDIRECT("'Student_Record 1'!E" &amp; ROW()))</f>
        <v/>
      </c>
      <c r="D456" s="8" t="str" cm="1">
        <f t="array" aca="1" ref="D456" ca="1">IF(INDIRECT("'Student_Record 1'!G" &amp; ROW())="", "", INDIRECT("'Student_Record 1'!G" &amp; ROW()))</f>
        <v/>
      </c>
      <c r="E456" s="8" t="str" cm="1">
        <f t="array" aca="1" ref="E456" ca="1">IF(INDIRECT("'Student_Record 1'!I" &amp; ROW())="", "", INDIRECT("'Student_Record 1'!I" &amp; ROW()))</f>
        <v/>
      </c>
      <c r="F456" s="8" t="str" cm="1">
        <f t="array" aca="1" ref="F456" ca="1">IF(INDIRECT("'Student_Record 1'!O" &amp; ROW())="", "", INDIRECT("'Student_Record 1'!O" &amp; ROW()))</f>
        <v/>
      </c>
      <c r="G456" s="11"/>
      <c r="I456" s="11"/>
      <c r="J456" s="11"/>
      <c r="K456" s="11"/>
      <c r="L456" s="11"/>
      <c r="M456" s="11"/>
      <c r="N456" s="11"/>
      <c r="O456" s="11"/>
      <c r="P456" s="11"/>
      <c r="Q456" s="11"/>
    </row>
    <row r="457" spans="1:17" x14ac:dyDescent="0.25">
      <c r="A457" s="8" t="str" cm="1">
        <f t="array" aca="1" ref="A457" ca="1">IF(INDIRECT("'Student_Record 1'!A" &amp; ROW())="", "", INDIRECT("'Student_Record 1'!A" &amp; ROW()))</f>
        <v/>
      </c>
      <c r="B457" s="8" t="str" cm="1">
        <f t="array" aca="1" ref="B457" ca="1">IF(INDIRECT("'Student_Record 1'!C" &amp; ROW())="", "", INDIRECT("'Student_Record 1'!C" &amp; ROW()))</f>
        <v/>
      </c>
      <c r="C457" s="8" t="str" cm="1">
        <f t="array" aca="1" ref="C457" ca="1">IF(INDIRECT("'Student_Record 1'!E" &amp; ROW())="", "", INDIRECT("'Student_Record 1'!E" &amp; ROW()))</f>
        <v/>
      </c>
      <c r="D457" s="8" t="str" cm="1">
        <f t="array" aca="1" ref="D457" ca="1">IF(INDIRECT("'Student_Record 1'!G" &amp; ROW())="", "", INDIRECT("'Student_Record 1'!G" &amp; ROW()))</f>
        <v/>
      </c>
      <c r="E457" s="8" t="str" cm="1">
        <f t="array" aca="1" ref="E457" ca="1">IF(INDIRECT("'Student_Record 1'!I" &amp; ROW())="", "", INDIRECT("'Student_Record 1'!I" &amp; ROW()))</f>
        <v/>
      </c>
      <c r="F457" s="8" t="str" cm="1">
        <f t="array" aca="1" ref="F457" ca="1">IF(INDIRECT("'Student_Record 1'!O" &amp; ROW())="", "", INDIRECT("'Student_Record 1'!O" &amp; ROW()))</f>
        <v/>
      </c>
      <c r="G457" s="11"/>
      <c r="I457" s="11"/>
      <c r="J457" s="11"/>
      <c r="K457" s="11"/>
      <c r="L457" s="11"/>
      <c r="M457" s="11"/>
      <c r="N457" s="11"/>
      <c r="O457" s="11"/>
      <c r="P457" s="11"/>
      <c r="Q457" s="11"/>
    </row>
    <row r="458" spans="1:17" x14ac:dyDescent="0.25">
      <c r="A458" s="8" t="str" cm="1">
        <f t="array" aca="1" ref="A458" ca="1">IF(INDIRECT("'Student_Record 1'!A" &amp; ROW())="", "", INDIRECT("'Student_Record 1'!A" &amp; ROW()))</f>
        <v/>
      </c>
      <c r="B458" s="8" t="str" cm="1">
        <f t="array" aca="1" ref="B458" ca="1">IF(INDIRECT("'Student_Record 1'!C" &amp; ROW())="", "", INDIRECT("'Student_Record 1'!C" &amp; ROW()))</f>
        <v/>
      </c>
      <c r="C458" s="8" t="str" cm="1">
        <f t="array" aca="1" ref="C458" ca="1">IF(INDIRECT("'Student_Record 1'!E" &amp; ROW())="", "", INDIRECT("'Student_Record 1'!E" &amp; ROW()))</f>
        <v/>
      </c>
      <c r="D458" s="8" t="str" cm="1">
        <f t="array" aca="1" ref="D458" ca="1">IF(INDIRECT("'Student_Record 1'!G" &amp; ROW())="", "", INDIRECT("'Student_Record 1'!G" &amp; ROW()))</f>
        <v/>
      </c>
      <c r="E458" s="8" t="str" cm="1">
        <f t="array" aca="1" ref="E458" ca="1">IF(INDIRECT("'Student_Record 1'!I" &amp; ROW())="", "", INDIRECT("'Student_Record 1'!I" &amp; ROW()))</f>
        <v/>
      </c>
      <c r="F458" s="8" t="str" cm="1">
        <f t="array" aca="1" ref="F458" ca="1">IF(INDIRECT("'Student_Record 1'!O" &amp; ROW())="", "", INDIRECT("'Student_Record 1'!O" &amp; ROW()))</f>
        <v/>
      </c>
      <c r="G458" s="11"/>
      <c r="I458" s="11"/>
      <c r="J458" s="11"/>
      <c r="K458" s="11"/>
      <c r="L458" s="11"/>
      <c r="M458" s="11"/>
      <c r="N458" s="11"/>
      <c r="O458" s="11"/>
      <c r="P458" s="11"/>
      <c r="Q458" s="11"/>
    </row>
    <row r="459" spans="1:17" x14ac:dyDescent="0.25">
      <c r="A459" s="8" t="str" cm="1">
        <f t="array" aca="1" ref="A459" ca="1">IF(INDIRECT("'Student_Record 1'!A" &amp; ROW())="", "", INDIRECT("'Student_Record 1'!A" &amp; ROW()))</f>
        <v/>
      </c>
      <c r="B459" s="8" t="str" cm="1">
        <f t="array" aca="1" ref="B459" ca="1">IF(INDIRECT("'Student_Record 1'!C" &amp; ROW())="", "", INDIRECT("'Student_Record 1'!C" &amp; ROW()))</f>
        <v/>
      </c>
      <c r="C459" s="8" t="str" cm="1">
        <f t="array" aca="1" ref="C459" ca="1">IF(INDIRECT("'Student_Record 1'!E" &amp; ROW())="", "", INDIRECT("'Student_Record 1'!E" &amp; ROW()))</f>
        <v/>
      </c>
      <c r="D459" s="8" t="str" cm="1">
        <f t="array" aca="1" ref="D459" ca="1">IF(INDIRECT("'Student_Record 1'!G" &amp; ROW())="", "", INDIRECT("'Student_Record 1'!G" &amp; ROW()))</f>
        <v/>
      </c>
      <c r="E459" s="8" t="str" cm="1">
        <f t="array" aca="1" ref="E459" ca="1">IF(INDIRECT("'Student_Record 1'!I" &amp; ROW())="", "", INDIRECT("'Student_Record 1'!I" &amp; ROW()))</f>
        <v/>
      </c>
      <c r="F459" s="8" t="str" cm="1">
        <f t="array" aca="1" ref="F459" ca="1">IF(INDIRECT("'Student_Record 1'!O" &amp; ROW())="", "", INDIRECT("'Student_Record 1'!O" &amp; ROW()))</f>
        <v/>
      </c>
      <c r="G459" s="11"/>
      <c r="I459" s="11"/>
      <c r="J459" s="11"/>
      <c r="K459" s="11"/>
      <c r="L459" s="11"/>
      <c r="M459" s="11"/>
      <c r="N459" s="11"/>
      <c r="O459" s="11"/>
      <c r="P459" s="11"/>
      <c r="Q459" s="11"/>
    </row>
    <row r="460" spans="1:17" x14ac:dyDescent="0.25">
      <c r="A460" s="8" t="str" cm="1">
        <f t="array" aca="1" ref="A460" ca="1">IF(INDIRECT("'Student_Record 1'!A" &amp; ROW())="", "", INDIRECT("'Student_Record 1'!A" &amp; ROW()))</f>
        <v/>
      </c>
      <c r="B460" s="8" t="str" cm="1">
        <f t="array" aca="1" ref="B460" ca="1">IF(INDIRECT("'Student_Record 1'!C" &amp; ROW())="", "", INDIRECT("'Student_Record 1'!C" &amp; ROW()))</f>
        <v/>
      </c>
      <c r="C460" s="8" t="str" cm="1">
        <f t="array" aca="1" ref="C460" ca="1">IF(INDIRECT("'Student_Record 1'!E" &amp; ROW())="", "", INDIRECT("'Student_Record 1'!E" &amp; ROW()))</f>
        <v/>
      </c>
      <c r="D460" s="8" t="str" cm="1">
        <f t="array" aca="1" ref="D460" ca="1">IF(INDIRECT("'Student_Record 1'!G" &amp; ROW())="", "", INDIRECT("'Student_Record 1'!G" &amp; ROW()))</f>
        <v/>
      </c>
      <c r="E460" s="8" t="str" cm="1">
        <f t="array" aca="1" ref="E460" ca="1">IF(INDIRECT("'Student_Record 1'!I" &amp; ROW())="", "", INDIRECT("'Student_Record 1'!I" &amp; ROW()))</f>
        <v/>
      </c>
      <c r="F460" s="8" t="str" cm="1">
        <f t="array" aca="1" ref="F460" ca="1">IF(INDIRECT("'Student_Record 1'!O" &amp; ROW())="", "", INDIRECT("'Student_Record 1'!O" &amp; ROW()))</f>
        <v/>
      </c>
      <c r="G460" s="11"/>
      <c r="I460" s="11"/>
      <c r="J460" s="11"/>
      <c r="K460" s="11"/>
      <c r="L460" s="11"/>
      <c r="M460" s="11"/>
      <c r="N460" s="11"/>
      <c r="O460" s="11"/>
      <c r="P460" s="11"/>
      <c r="Q460" s="11"/>
    </row>
    <row r="461" spans="1:17" x14ac:dyDescent="0.25">
      <c r="A461" s="8" t="str" cm="1">
        <f t="array" aca="1" ref="A461" ca="1">IF(INDIRECT("'Student_Record 1'!A" &amp; ROW())="", "", INDIRECT("'Student_Record 1'!A" &amp; ROW()))</f>
        <v/>
      </c>
      <c r="B461" s="8" t="str" cm="1">
        <f t="array" aca="1" ref="B461" ca="1">IF(INDIRECT("'Student_Record 1'!C" &amp; ROW())="", "", INDIRECT("'Student_Record 1'!C" &amp; ROW()))</f>
        <v/>
      </c>
      <c r="C461" s="8" t="str" cm="1">
        <f t="array" aca="1" ref="C461" ca="1">IF(INDIRECT("'Student_Record 1'!E" &amp; ROW())="", "", INDIRECT("'Student_Record 1'!E" &amp; ROW()))</f>
        <v/>
      </c>
      <c r="D461" s="8" t="str" cm="1">
        <f t="array" aca="1" ref="D461" ca="1">IF(INDIRECT("'Student_Record 1'!G" &amp; ROW())="", "", INDIRECT("'Student_Record 1'!G" &amp; ROW()))</f>
        <v/>
      </c>
      <c r="E461" s="8" t="str" cm="1">
        <f t="array" aca="1" ref="E461" ca="1">IF(INDIRECT("'Student_Record 1'!I" &amp; ROW())="", "", INDIRECT("'Student_Record 1'!I" &amp; ROW()))</f>
        <v/>
      </c>
      <c r="F461" s="8" t="str" cm="1">
        <f t="array" aca="1" ref="F461" ca="1">IF(INDIRECT("'Student_Record 1'!O" &amp; ROW())="", "", INDIRECT("'Student_Record 1'!O" &amp; ROW()))</f>
        <v/>
      </c>
      <c r="G461" s="11"/>
      <c r="I461" s="11"/>
      <c r="J461" s="11"/>
      <c r="K461" s="11"/>
      <c r="L461" s="11"/>
      <c r="M461" s="11"/>
      <c r="N461" s="11"/>
      <c r="O461" s="11"/>
      <c r="P461" s="11"/>
      <c r="Q461" s="11"/>
    </row>
    <row r="462" spans="1:17" x14ac:dyDescent="0.25">
      <c r="A462" s="8" t="str" cm="1">
        <f t="array" aca="1" ref="A462" ca="1">IF(INDIRECT("'Student_Record 1'!A" &amp; ROW())="", "", INDIRECT("'Student_Record 1'!A" &amp; ROW()))</f>
        <v/>
      </c>
      <c r="B462" s="8" t="str" cm="1">
        <f t="array" aca="1" ref="B462" ca="1">IF(INDIRECT("'Student_Record 1'!C" &amp; ROW())="", "", INDIRECT("'Student_Record 1'!C" &amp; ROW()))</f>
        <v/>
      </c>
      <c r="C462" s="8" t="str" cm="1">
        <f t="array" aca="1" ref="C462" ca="1">IF(INDIRECT("'Student_Record 1'!E" &amp; ROW())="", "", INDIRECT("'Student_Record 1'!E" &amp; ROW()))</f>
        <v/>
      </c>
      <c r="D462" s="8" t="str" cm="1">
        <f t="array" aca="1" ref="D462" ca="1">IF(INDIRECT("'Student_Record 1'!G" &amp; ROW())="", "", INDIRECT("'Student_Record 1'!G" &amp; ROW()))</f>
        <v/>
      </c>
      <c r="E462" s="8" t="str" cm="1">
        <f t="array" aca="1" ref="E462" ca="1">IF(INDIRECT("'Student_Record 1'!I" &amp; ROW())="", "", INDIRECT("'Student_Record 1'!I" &amp; ROW()))</f>
        <v/>
      </c>
      <c r="F462" s="8" t="str" cm="1">
        <f t="array" aca="1" ref="F462" ca="1">IF(INDIRECT("'Student_Record 1'!O" &amp; ROW())="", "", INDIRECT("'Student_Record 1'!O" &amp; ROW()))</f>
        <v/>
      </c>
      <c r="G462" s="11"/>
      <c r="I462" s="11"/>
      <c r="J462" s="11"/>
      <c r="K462" s="11"/>
      <c r="L462" s="11"/>
      <c r="M462" s="11"/>
      <c r="N462" s="11"/>
      <c r="O462" s="11"/>
      <c r="P462" s="11"/>
      <c r="Q462" s="11"/>
    </row>
    <row r="463" spans="1:17" x14ac:dyDescent="0.25">
      <c r="A463" s="8" t="str" cm="1">
        <f t="array" aca="1" ref="A463" ca="1">IF(INDIRECT("'Student_Record 1'!A" &amp; ROW())="", "", INDIRECT("'Student_Record 1'!A" &amp; ROW()))</f>
        <v/>
      </c>
      <c r="B463" s="8" t="str" cm="1">
        <f t="array" aca="1" ref="B463" ca="1">IF(INDIRECT("'Student_Record 1'!C" &amp; ROW())="", "", INDIRECT("'Student_Record 1'!C" &amp; ROW()))</f>
        <v/>
      </c>
      <c r="C463" s="8" t="str" cm="1">
        <f t="array" aca="1" ref="C463" ca="1">IF(INDIRECT("'Student_Record 1'!E" &amp; ROW())="", "", INDIRECT("'Student_Record 1'!E" &amp; ROW()))</f>
        <v/>
      </c>
      <c r="D463" s="8" t="str" cm="1">
        <f t="array" aca="1" ref="D463" ca="1">IF(INDIRECT("'Student_Record 1'!G" &amp; ROW())="", "", INDIRECT("'Student_Record 1'!G" &amp; ROW()))</f>
        <v/>
      </c>
      <c r="E463" s="8" t="str" cm="1">
        <f t="array" aca="1" ref="E463" ca="1">IF(INDIRECT("'Student_Record 1'!I" &amp; ROW())="", "", INDIRECT("'Student_Record 1'!I" &amp; ROW()))</f>
        <v/>
      </c>
      <c r="F463" s="8" t="str" cm="1">
        <f t="array" aca="1" ref="F463" ca="1">IF(INDIRECT("'Student_Record 1'!O" &amp; ROW())="", "", INDIRECT("'Student_Record 1'!O" &amp; ROW()))</f>
        <v/>
      </c>
      <c r="G463" s="11"/>
      <c r="I463" s="11"/>
      <c r="J463" s="11"/>
      <c r="K463" s="11"/>
      <c r="L463" s="11"/>
      <c r="M463" s="11"/>
      <c r="N463" s="11"/>
      <c r="O463" s="11"/>
      <c r="P463" s="11"/>
      <c r="Q463" s="11"/>
    </row>
    <row r="464" spans="1:17" x14ac:dyDescent="0.25">
      <c r="A464" s="8" t="str" cm="1">
        <f t="array" aca="1" ref="A464" ca="1">IF(INDIRECT("'Student_Record 1'!A" &amp; ROW())="", "", INDIRECT("'Student_Record 1'!A" &amp; ROW()))</f>
        <v/>
      </c>
      <c r="B464" s="8" t="str" cm="1">
        <f t="array" aca="1" ref="B464" ca="1">IF(INDIRECT("'Student_Record 1'!C" &amp; ROW())="", "", INDIRECT("'Student_Record 1'!C" &amp; ROW()))</f>
        <v/>
      </c>
      <c r="C464" s="8" t="str" cm="1">
        <f t="array" aca="1" ref="C464" ca="1">IF(INDIRECT("'Student_Record 1'!E" &amp; ROW())="", "", INDIRECT("'Student_Record 1'!E" &amp; ROW()))</f>
        <v/>
      </c>
      <c r="D464" s="8" t="str" cm="1">
        <f t="array" aca="1" ref="D464" ca="1">IF(INDIRECT("'Student_Record 1'!G" &amp; ROW())="", "", INDIRECT("'Student_Record 1'!G" &amp; ROW()))</f>
        <v/>
      </c>
      <c r="E464" s="8" t="str" cm="1">
        <f t="array" aca="1" ref="E464" ca="1">IF(INDIRECT("'Student_Record 1'!I" &amp; ROW())="", "", INDIRECT("'Student_Record 1'!I" &amp; ROW()))</f>
        <v/>
      </c>
      <c r="F464" s="8" t="str" cm="1">
        <f t="array" aca="1" ref="F464" ca="1">IF(INDIRECT("'Student_Record 1'!O" &amp; ROW())="", "", INDIRECT("'Student_Record 1'!O" &amp; ROW()))</f>
        <v/>
      </c>
      <c r="G464" s="11"/>
      <c r="I464" s="11"/>
      <c r="J464" s="11"/>
      <c r="K464" s="11"/>
      <c r="L464" s="11"/>
      <c r="M464" s="11"/>
      <c r="N464" s="11"/>
      <c r="O464" s="11"/>
      <c r="P464" s="11"/>
      <c r="Q464" s="11"/>
    </row>
    <row r="465" spans="1:17" x14ac:dyDescent="0.25">
      <c r="A465" s="8" t="str" cm="1">
        <f t="array" aca="1" ref="A465" ca="1">IF(INDIRECT("'Student_Record 1'!A" &amp; ROW())="", "", INDIRECT("'Student_Record 1'!A" &amp; ROW()))</f>
        <v/>
      </c>
      <c r="B465" s="8" t="str" cm="1">
        <f t="array" aca="1" ref="B465" ca="1">IF(INDIRECT("'Student_Record 1'!C" &amp; ROW())="", "", INDIRECT("'Student_Record 1'!C" &amp; ROW()))</f>
        <v/>
      </c>
      <c r="C465" s="8" t="str" cm="1">
        <f t="array" aca="1" ref="C465" ca="1">IF(INDIRECT("'Student_Record 1'!E" &amp; ROW())="", "", INDIRECT("'Student_Record 1'!E" &amp; ROW()))</f>
        <v/>
      </c>
      <c r="D465" s="8" t="str" cm="1">
        <f t="array" aca="1" ref="D465" ca="1">IF(INDIRECT("'Student_Record 1'!G" &amp; ROW())="", "", INDIRECT("'Student_Record 1'!G" &amp; ROW()))</f>
        <v/>
      </c>
      <c r="E465" s="8" t="str" cm="1">
        <f t="array" aca="1" ref="E465" ca="1">IF(INDIRECT("'Student_Record 1'!I" &amp; ROW())="", "", INDIRECT("'Student_Record 1'!I" &amp; ROW()))</f>
        <v/>
      </c>
      <c r="F465" s="8" t="str" cm="1">
        <f t="array" aca="1" ref="F465" ca="1">IF(INDIRECT("'Student_Record 1'!O" &amp; ROW())="", "", INDIRECT("'Student_Record 1'!O" &amp; ROW()))</f>
        <v/>
      </c>
      <c r="G465" s="11"/>
      <c r="I465" s="11"/>
      <c r="J465" s="11"/>
      <c r="K465" s="11"/>
      <c r="L465" s="11"/>
      <c r="M465" s="11"/>
      <c r="N465" s="11"/>
      <c r="O465" s="11"/>
      <c r="P465" s="11"/>
      <c r="Q465" s="11"/>
    </row>
    <row r="466" spans="1:17" x14ac:dyDescent="0.25">
      <c r="A466" s="8" t="str" cm="1">
        <f t="array" aca="1" ref="A466" ca="1">IF(INDIRECT("'Student_Record 1'!A" &amp; ROW())="", "", INDIRECT("'Student_Record 1'!A" &amp; ROW()))</f>
        <v/>
      </c>
      <c r="B466" s="8" t="str" cm="1">
        <f t="array" aca="1" ref="B466" ca="1">IF(INDIRECT("'Student_Record 1'!C" &amp; ROW())="", "", INDIRECT("'Student_Record 1'!C" &amp; ROW()))</f>
        <v/>
      </c>
      <c r="C466" s="8" t="str" cm="1">
        <f t="array" aca="1" ref="C466" ca="1">IF(INDIRECT("'Student_Record 1'!E" &amp; ROW())="", "", INDIRECT("'Student_Record 1'!E" &amp; ROW()))</f>
        <v/>
      </c>
      <c r="D466" s="8" t="str" cm="1">
        <f t="array" aca="1" ref="D466" ca="1">IF(INDIRECT("'Student_Record 1'!G" &amp; ROW())="", "", INDIRECT("'Student_Record 1'!G" &amp; ROW()))</f>
        <v/>
      </c>
      <c r="E466" s="8" t="str" cm="1">
        <f t="array" aca="1" ref="E466" ca="1">IF(INDIRECT("'Student_Record 1'!I" &amp; ROW())="", "", INDIRECT("'Student_Record 1'!I" &amp; ROW()))</f>
        <v/>
      </c>
      <c r="F466" s="8" t="str" cm="1">
        <f t="array" aca="1" ref="F466" ca="1">IF(INDIRECT("'Student_Record 1'!O" &amp; ROW())="", "", INDIRECT("'Student_Record 1'!O" &amp; ROW()))</f>
        <v/>
      </c>
      <c r="G466" s="11"/>
      <c r="I466" s="11"/>
      <c r="J466" s="11"/>
      <c r="K466" s="11"/>
      <c r="L466" s="11"/>
      <c r="M466" s="11"/>
      <c r="N466" s="11"/>
      <c r="O466" s="11"/>
      <c r="P466" s="11"/>
      <c r="Q466" s="11"/>
    </row>
    <row r="467" spans="1:17" x14ac:dyDescent="0.25">
      <c r="A467" s="8" t="str" cm="1">
        <f t="array" aca="1" ref="A467" ca="1">IF(INDIRECT("'Student_Record 1'!A" &amp; ROW())="", "", INDIRECT("'Student_Record 1'!A" &amp; ROW()))</f>
        <v/>
      </c>
      <c r="B467" s="8" t="str" cm="1">
        <f t="array" aca="1" ref="B467" ca="1">IF(INDIRECT("'Student_Record 1'!C" &amp; ROW())="", "", INDIRECT("'Student_Record 1'!C" &amp; ROW()))</f>
        <v/>
      </c>
      <c r="C467" s="8" t="str" cm="1">
        <f t="array" aca="1" ref="C467" ca="1">IF(INDIRECT("'Student_Record 1'!E" &amp; ROW())="", "", INDIRECT("'Student_Record 1'!E" &amp; ROW()))</f>
        <v/>
      </c>
      <c r="D467" s="8" t="str" cm="1">
        <f t="array" aca="1" ref="D467" ca="1">IF(INDIRECT("'Student_Record 1'!G" &amp; ROW())="", "", INDIRECT("'Student_Record 1'!G" &amp; ROW()))</f>
        <v/>
      </c>
      <c r="E467" s="8" t="str" cm="1">
        <f t="array" aca="1" ref="E467" ca="1">IF(INDIRECT("'Student_Record 1'!I" &amp; ROW())="", "", INDIRECT("'Student_Record 1'!I" &amp; ROW()))</f>
        <v/>
      </c>
      <c r="F467" s="8" t="str" cm="1">
        <f t="array" aca="1" ref="F467" ca="1">IF(INDIRECT("'Student_Record 1'!O" &amp; ROW())="", "", INDIRECT("'Student_Record 1'!O" &amp; ROW()))</f>
        <v/>
      </c>
      <c r="G467" s="11"/>
      <c r="I467" s="11"/>
      <c r="J467" s="11"/>
      <c r="K467" s="11"/>
      <c r="L467" s="11"/>
      <c r="M467" s="11"/>
      <c r="N467" s="11"/>
      <c r="O467" s="11"/>
      <c r="P467" s="11"/>
      <c r="Q467" s="11"/>
    </row>
    <row r="468" spans="1:17" x14ac:dyDescent="0.25">
      <c r="A468" s="8" t="str" cm="1">
        <f t="array" aca="1" ref="A468" ca="1">IF(INDIRECT("'Student_Record 1'!A" &amp; ROW())="", "", INDIRECT("'Student_Record 1'!A" &amp; ROW()))</f>
        <v/>
      </c>
      <c r="B468" s="8" t="str" cm="1">
        <f t="array" aca="1" ref="B468" ca="1">IF(INDIRECT("'Student_Record 1'!C" &amp; ROW())="", "", INDIRECT("'Student_Record 1'!C" &amp; ROW()))</f>
        <v/>
      </c>
      <c r="C468" s="8" t="str" cm="1">
        <f t="array" aca="1" ref="C468" ca="1">IF(INDIRECT("'Student_Record 1'!E" &amp; ROW())="", "", INDIRECT("'Student_Record 1'!E" &amp; ROW()))</f>
        <v/>
      </c>
      <c r="D468" s="8" t="str" cm="1">
        <f t="array" aca="1" ref="D468" ca="1">IF(INDIRECT("'Student_Record 1'!G" &amp; ROW())="", "", INDIRECT("'Student_Record 1'!G" &amp; ROW()))</f>
        <v/>
      </c>
      <c r="E468" s="8" t="str" cm="1">
        <f t="array" aca="1" ref="E468" ca="1">IF(INDIRECT("'Student_Record 1'!I" &amp; ROW())="", "", INDIRECT("'Student_Record 1'!I" &amp; ROW()))</f>
        <v/>
      </c>
      <c r="F468" s="8" t="str" cm="1">
        <f t="array" aca="1" ref="F468" ca="1">IF(INDIRECT("'Student_Record 1'!O" &amp; ROW())="", "", INDIRECT("'Student_Record 1'!O" &amp; ROW()))</f>
        <v/>
      </c>
      <c r="G468" s="11"/>
      <c r="I468" s="11"/>
      <c r="J468" s="11"/>
      <c r="K468" s="11"/>
      <c r="L468" s="11"/>
      <c r="M468" s="11"/>
      <c r="N468" s="11"/>
      <c r="O468" s="11"/>
      <c r="P468" s="11"/>
      <c r="Q468" s="11"/>
    </row>
    <row r="469" spans="1:17" x14ac:dyDescent="0.25">
      <c r="A469" s="8" t="str" cm="1">
        <f t="array" aca="1" ref="A469" ca="1">IF(INDIRECT("'Student_Record 1'!A" &amp; ROW())="", "", INDIRECT("'Student_Record 1'!A" &amp; ROW()))</f>
        <v/>
      </c>
      <c r="B469" s="8" t="str" cm="1">
        <f t="array" aca="1" ref="B469" ca="1">IF(INDIRECT("'Student_Record 1'!C" &amp; ROW())="", "", INDIRECT("'Student_Record 1'!C" &amp; ROW()))</f>
        <v/>
      </c>
      <c r="C469" s="8" t="str" cm="1">
        <f t="array" aca="1" ref="C469" ca="1">IF(INDIRECT("'Student_Record 1'!E" &amp; ROW())="", "", INDIRECT("'Student_Record 1'!E" &amp; ROW()))</f>
        <v/>
      </c>
      <c r="D469" s="8" t="str" cm="1">
        <f t="array" aca="1" ref="D469" ca="1">IF(INDIRECT("'Student_Record 1'!G" &amp; ROW())="", "", INDIRECT("'Student_Record 1'!G" &amp; ROW()))</f>
        <v/>
      </c>
      <c r="E469" s="8" t="str" cm="1">
        <f t="array" aca="1" ref="E469" ca="1">IF(INDIRECT("'Student_Record 1'!I" &amp; ROW())="", "", INDIRECT("'Student_Record 1'!I" &amp; ROW()))</f>
        <v/>
      </c>
      <c r="F469" s="8" t="str" cm="1">
        <f t="array" aca="1" ref="F469" ca="1">IF(INDIRECT("'Student_Record 1'!O" &amp; ROW())="", "", INDIRECT("'Student_Record 1'!O" &amp; ROW()))</f>
        <v/>
      </c>
      <c r="G469" s="11"/>
      <c r="I469" s="11"/>
      <c r="J469" s="11"/>
      <c r="K469" s="11"/>
      <c r="L469" s="11"/>
      <c r="M469" s="11"/>
      <c r="N469" s="11"/>
      <c r="O469" s="11"/>
      <c r="P469" s="11"/>
      <c r="Q469" s="11"/>
    </row>
    <row r="470" spans="1:17" x14ac:dyDescent="0.25">
      <c r="A470" s="8" t="str" cm="1">
        <f t="array" aca="1" ref="A470" ca="1">IF(INDIRECT("'Student_Record 1'!A" &amp; ROW())="", "", INDIRECT("'Student_Record 1'!A" &amp; ROW()))</f>
        <v/>
      </c>
      <c r="B470" s="8" t="str" cm="1">
        <f t="array" aca="1" ref="B470" ca="1">IF(INDIRECT("'Student_Record 1'!C" &amp; ROW())="", "", INDIRECT("'Student_Record 1'!C" &amp; ROW()))</f>
        <v/>
      </c>
      <c r="C470" s="8" t="str" cm="1">
        <f t="array" aca="1" ref="C470" ca="1">IF(INDIRECT("'Student_Record 1'!E" &amp; ROW())="", "", INDIRECT("'Student_Record 1'!E" &amp; ROW()))</f>
        <v/>
      </c>
      <c r="D470" s="8" t="str" cm="1">
        <f t="array" aca="1" ref="D470" ca="1">IF(INDIRECT("'Student_Record 1'!G" &amp; ROW())="", "", INDIRECT("'Student_Record 1'!G" &amp; ROW()))</f>
        <v/>
      </c>
      <c r="E470" s="8" t="str" cm="1">
        <f t="array" aca="1" ref="E470" ca="1">IF(INDIRECT("'Student_Record 1'!I" &amp; ROW())="", "", INDIRECT("'Student_Record 1'!I" &amp; ROW()))</f>
        <v/>
      </c>
      <c r="F470" s="8" t="str" cm="1">
        <f t="array" aca="1" ref="F470" ca="1">IF(INDIRECT("'Student_Record 1'!O" &amp; ROW())="", "", INDIRECT("'Student_Record 1'!O" &amp; ROW()))</f>
        <v/>
      </c>
      <c r="G470" s="11"/>
      <c r="I470" s="11"/>
      <c r="J470" s="11"/>
      <c r="K470" s="11"/>
      <c r="L470" s="11"/>
      <c r="M470" s="11"/>
      <c r="N470" s="11"/>
      <c r="O470" s="11"/>
      <c r="P470" s="11"/>
      <c r="Q470" s="11"/>
    </row>
    <row r="471" spans="1:17" x14ac:dyDescent="0.25">
      <c r="A471" s="8" t="str" cm="1">
        <f t="array" aca="1" ref="A471" ca="1">IF(INDIRECT("'Student_Record 1'!A" &amp; ROW())="", "", INDIRECT("'Student_Record 1'!A" &amp; ROW()))</f>
        <v/>
      </c>
      <c r="B471" s="8" t="str" cm="1">
        <f t="array" aca="1" ref="B471" ca="1">IF(INDIRECT("'Student_Record 1'!C" &amp; ROW())="", "", INDIRECT("'Student_Record 1'!C" &amp; ROW()))</f>
        <v/>
      </c>
      <c r="C471" s="8" t="str" cm="1">
        <f t="array" aca="1" ref="C471" ca="1">IF(INDIRECT("'Student_Record 1'!E" &amp; ROW())="", "", INDIRECT("'Student_Record 1'!E" &amp; ROW()))</f>
        <v/>
      </c>
      <c r="D471" s="8" t="str" cm="1">
        <f t="array" aca="1" ref="D471" ca="1">IF(INDIRECT("'Student_Record 1'!G" &amp; ROW())="", "", INDIRECT("'Student_Record 1'!G" &amp; ROW()))</f>
        <v/>
      </c>
      <c r="E471" s="8" t="str" cm="1">
        <f t="array" aca="1" ref="E471" ca="1">IF(INDIRECT("'Student_Record 1'!I" &amp; ROW())="", "", INDIRECT("'Student_Record 1'!I" &amp; ROW()))</f>
        <v/>
      </c>
      <c r="F471" s="8" t="str" cm="1">
        <f t="array" aca="1" ref="F471" ca="1">IF(INDIRECT("'Student_Record 1'!O" &amp; ROW())="", "", INDIRECT("'Student_Record 1'!O" &amp; ROW()))</f>
        <v/>
      </c>
      <c r="G471" s="11"/>
      <c r="I471" s="11"/>
      <c r="J471" s="11"/>
      <c r="K471" s="11"/>
      <c r="L471" s="11"/>
      <c r="M471" s="11"/>
      <c r="N471" s="11"/>
      <c r="O471" s="11"/>
      <c r="P471" s="11"/>
      <c r="Q471" s="11"/>
    </row>
    <row r="472" spans="1:17" x14ac:dyDescent="0.25">
      <c r="A472" s="8" t="str" cm="1">
        <f t="array" aca="1" ref="A472" ca="1">IF(INDIRECT("'Student_Record 1'!A" &amp; ROW())="", "", INDIRECT("'Student_Record 1'!A" &amp; ROW()))</f>
        <v/>
      </c>
      <c r="B472" s="8" t="str" cm="1">
        <f t="array" aca="1" ref="B472" ca="1">IF(INDIRECT("'Student_Record 1'!C" &amp; ROW())="", "", INDIRECT("'Student_Record 1'!C" &amp; ROW()))</f>
        <v/>
      </c>
      <c r="C472" s="8" t="str" cm="1">
        <f t="array" aca="1" ref="C472" ca="1">IF(INDIRECT("'Student_Record 1'!E" &amp; ROW())="", "", INDIRECT("'Student_Record 1'!E" &amp; ROW()))</f>
        <v/>
      </c>
      <c r="D472" s="8" t="str" cm="1">
        <f t="array" aca="1" ref="D472" ca="1">IF(INDIRECT("'Student_Record 1'!G" &amp; ROW())="", "", INDIRECT("'Student_Record 1'!G" &amp; ROW()))</f>
        <v/>
      </c>
      <c r="E472" s="8" t="str" cm="1">
        <f t="array" aca="1" ref="E472" ca="1">IF(INDIRECT("'Student_Record 1'!I" &amp; ROW())="", "", INDIRECT("'Student_Record 1'!I" &amp; ROW()))</f>
        <v/>
      </c>
      <c r="F472" s="8" t="str" cm="1">
        <f t="array" aca="1" ref="F472" ca="1">IF(INDIRECT("'Student_Record 1'!O" &amp; ROW())="", "", INDIRECT("'Student_Record 1'!O" &amp; ROW()))</f>
        <v/>
      </c>
      <c r="G472" s="11"/>
      <c r="I472" s="11"/>
      <c r="J472" s="11"/>
      <c r="K472" s="11"/>
      <c r="L472" s="11"/>
      <c r="M472" s="11"/>
      <c r="N472" s="11"/>
      <c r="O472" s="11"/>
      <c r="P472" s="11"/>
      <c r="Q472" s="11"/>
    </row>
    <row r="473" spans="1:17" x14ac:dyDescent="0.25">
      <c r="A473" s="8" t="str" cm="1">
        <f t="array" aca="1" ref="A473" ca="1">IF(INDIRECT("'Student_Record 1'!A" &amp; ROW())="", "", INDIRECT("'Student_Record 1'!A" &amp; ROW()))</f>
        <v/>
      </c>
      <c r="B473" s="8" t="str" cm="1">
        <f t="array" aca="1" ref="B473" ca="1">IF(INDIRECT("'Student_Record 1'!C" &amp; ROW())="", "", INDIRECT("'Student_Record 1'!C" &amp; ROW()))</f>
        <v/>
      </c>
      <c r="C473" s="8" t="str" cm="1">
        <f t="array" aca="1" ref="C473" ca="1">IF(INDIRECT("'Student_Record 1'!E" &amp; ROW())="", "", INDIRECT("'Student_Record 1'!E" &amp; ROW()))</f>
        <v/>
      </c>
      <c r="D473" s="8" t="str" cm="1">
        <f t="array" aca="1" ref="D473" ca="1">IF(INDIRECT("'Student_Record 1'!G" &amp; ROW())="", "", INDIRECT("'Student_Record 1'!G" &amp; ROW()))</f>
        <v/>
      </c>
      <c r="E473" s="8" t="str" cm="1">
        <f t="array" aca="1" ref="E473" ca="1">IF(INDIRECT("'Student_Record 1'!I" &amp; ROW())="", "", INDIRECT("'Student_Record 1'!I" &amp; ROW()))</f>
        <v/>
      </c>
      <c r="F473" s="8" t="str" cm="1">
        <f t="array" aca="1" ref="F473" ca="1">IF(INDIRECT("'Student_Record 1'!O" &amp; ROW())="", "", INDIRECT("'Student_Record 1'!O" &amp; ROW()))</f>
        <v/>
      </c>
      <c r="G473" s="11"/>
      <c r="I473" s="11"/>
      <c r="J473" s="11"/>
      <c r="K473" s="11"/>
      <c r="L473" s="11"/>
      <c r="M473" s="11"/>
      <c r="N473" s="11"/>
      <c r="O473" s="11"/>
      <c r="P473" s="11"/>
      <c r="Q473" s="11"/>
    </row>
    <row r="474" spans="1:17" x14ac:dyDescent="0.25">
      <c r="A474" s="8" t="str" cm="1">
        <f t="array" aca="1" ref="A474" ca="1">IF(INDIRECT("'Student_Record 1'!A" &amp; ROW())="", "", INDIRECT("'Student_Record 1'!A" &amp; ROW()))</f>
        <v/>
      </c>
      <c r="B474" s="8" t="str" cm="1">
        <f t="array" aca="1" ref="B474" ca="1">IF(INDIRECT("'Student_Record 1'!C" &amp; ROW())="", "", INDIRECT("'Student_Record 1'!C" &amp; ROW()))</f>
        <v/>
      </c>
      <c r="C474" s="8" t="str" cm="1">
        <f t="array" aca="1" ref="C474" ca="1">IF(INDIRECT("'Student_Record 1'!E" &amp; ROW())="", "", INDIRECT("'Student_Record 1'!E" &amp; ROW()))</f>
        <v/>
      </c>
      <c r="D474" s="8" t="str" cm="1">
        <f t="array" aca="1" ref="D474" ca="1">IF(INDIRECT("'Student_Record 1'!G" &amp; ROW())="", "", INDIRECT("'Student_Record 1'!G" &amp; ROW()))</f>
        <v/>
      </c>
      <c r="E474" s="8" t="str" cm="1">
        <f t="array" aca="1" ref="E474" ca="1">IF(INDIRECT("'Student_Record 1'!I" &amp; ROW())="", "", INDIRECT("'Student_Record 1'!I" &amp; ROW()))</f>
        <v/>
      </c>
      <c r="F474" s="8" t="str" cm="1">
        <f t="array" aca="1" ref="F474" ca="1">IF(INDIRECT("'Student_Record 1'!O" &amp; ROW())="", "", INDIRECT("'Student_Record 1'!O" &amp; ROW()))</f>
        <v/>
      </c>
      <c r="G474" s="11"/>
      <c r="I474" s="11"/>
      <c r="J474" s="11"/>
      <c r="K474" s="11"/>
      <c r="L474" s="11"/>
      <c r="M474" s="11"/>
      <c r="N474" s="11"/>
      <c r="O474" s="11"/>
      <c r="P474" s="11"/>
      <c r="Q474" s="11"/>
    </row>
    <row r="475" spans="1:17" x14ac:dyDescent="0.25">
      <c r="A475" s="8" t="str" cm="1">
        <f t="array" aca="1" ref="A475" ca="1">IF(INDIRECT("'Student_Record 1'!A" &amp; ROW())="", "", INDIRECT("'Student_Record 1'!A" &amp; ROW()))</f>
        <v/>
      </c>
      <c r="B475" s="8" t="str" cm="1">
        <f t="array" aca="1" ref="B475" ca="1">IF(INDIRECT("'Student_Record 1'!C" &amp; ROW())="", "", INDIRECT("'Student_Record 1'!C" &amp; ROW()))</f>
        <v/>
      </c>
      <c r="C475" s="8" t="str" cm="1">
        <f t="array" aca="1" ref="C475" ca="1">IF(INDIRECT("'Student_Record 1'!E" &amp; ROW())="", "", INDIRECT("'Student_Record 1'!E" &amp; ROW()))</f>
        <v/>
      </c>
      <c r="D475" s="8" t="str" cm="1">
        <f t="array" aca="1" ref="D475" ca="1">IF(INDIRECT("'Student_Record 1'!G" &amp; ROW())="", "", INDIRECT("'Student_Record 1'!G" &amp; ROW()))</f>
        <v/>
      </c>
      <c r="E475" s="8" t="str" cm="1">
        <f t="array" aca="1" ref="E475" ca="1">IF(INDIRECT("'Student_Record 1'!I" &amp; ROW())="", "", INDIRECT("'Student_Record 1'!I" &amp; ROW()))</f>
        <v/>
      </c>
      <c r="F475" s="8" t="str" cm="1">
        <f t="array" aca="1" ref="F475" ca="1">IF(INDIRECT("'Student_Record 1'!O" &amp; ROW())="", "", INDIRECT("'Student_Record 1'!O" &amp; ROW()))</f>
        <v/>
      </c>
      <c r="G475" s="11"/>
      <c r="I475" s="11"/>
      <c r="J475" s="11"/>
      <c r="K475" s="11"/>
      <c r="L475" s="11"/>
      <c r="M475" s="11"/>
      <c r="N475" s="11"/>
      <c r="O475" s="11"/>
      <c r="P475" s="11"/>
      <c r="Q475" s="11"/>
    </row>
    <row r="476" spans="1:17" x14ac:dyDescent="0.25">
      <c r="A476" s="8" t="str" cm="1">
        <f t="array" aca="1" ref="A476" ca="1">IF(INDIRECT("'Student_Record 1'!A" &amp; ROW())="", "", INDIRECT("'Student_Record 1'!A" &amp; ROW()))</f>
        <v/>
      </c>
      <c r="B476" s="8" t="str" cm="1">
        <f t="array" aca="1" ref="B476" ca="1">IF(INDIRECT("'Student_Record 1'!C" &amp; ROW())="", "", INDIRECT("'Student_Record 1'!C" &amp; ROW()))</f>
        <v/>
      </c>
      <c r="C476" s="8" t="str" cm="1">
        <f t="array" aca="1" ref="C476" ca="1">IF(INDIRECT("'Student_Record 1'!E" &amp; ROW())="", "", INDIRECT("'Student_Record 1'!E" &amp; ROW()))</f>
        <v/>
      </c>
      <c r="D476" s="8" t="str" cm="1">
        <f t="array" aca="1" ref="D476" ca="1">IF(INDIRECT("'Student_Record 1'!G" &amp; ROW())="", "", INDIRECT("'Student_Record 1'!G" &amp; ROW()))</f>
        <v/>
      </c>
      <c r="E476" s="8" t="str" cm="1">
        <f t="array" aca="1" ref="E476" ca="1">IF(INDIRECT("'Student_Record 1'!I" &amp; ROW())="", "", INDIRECT("'Student_Record 1'!I" &amp; ROW()))</f>
        <v/>
      </c>
      <c r="F476" s="8" t="str" cm="1">
        <f t="array" aca="1" ref="F476" ca="1">IF(INDIRECT("'Student_Record 1'!O" &amp; ROW())="", "", INDIRECT("'Student_Record 1'!O" &amp; ROW()))</f>
        <v/>
      </c>
      <c r="G476" s="11"/>
      <c r="I476" s="11"/>
      <c r="J476" s="11"/>
      <c r="K476" s="11"/>
      <c r="L476" s="11"/>
      <c r="M476" s="11"/>
      <c r="N476" s="11"/>
      <c r="O476" s="11"/>
      <c r="P476" s="11"/>
      <c r="Q476" s="11"/>
    </row>
    <row r="477" spans="1:17" x14ac:dyDescent="0.25">
      <c r="A477" s="8" t="str" cm="1">
        <f t="array" aca="1" ref="A477" ca="1">IF(INDIRECT("'Student_Record 1'!A" &amp; ROW())="", "", INDIRECT("'Student_Record 1'!A" &amp; ROW()))</f>
        <v/>
      </c>
      <c r="B477" s="8" t="str" cm="1">
        <f t="array" aca="1" ref="B477" ca="1">IF(INDIRECT("'Student_Record 1'!C" &amp; ROW())="", "", INDIRECT("'Student_Record 1'!C" &amp; ROW()))</f>
        <v/>
      </c>
      <c r="C477" s="8" t="str" cm="1">
        <f t="array" aca="1" ref="C477" ca="1">IF(INDIRECT("'Student_Record 1'!E" &amp; ROW())="", "", INDIRECT("'Student_Record 1'!E" &amp; ROW()))</f>
        <v/>
      </c>
      <c r="D477" s="8" t="str" cm="1">
        <f t="array" aca="1" ref="D477" ca="1">IF(INDIRECT("'Student_Record 1'!G" &amp; ROW())="", "", INDIRECT("'Student_Record 1'!G" &amp; ROW()))</f>
        <v/>
      </c>
      <c r="E477" s="8" t="str" cm="1">
        <f t="array" aca="1" ref="E477" ca="1">IF(INDIRECT("'Student_Record 1'!I" &amp; ROW())="", "", INDIRECT("'Student_Record 1'!I" &amp; ROW()))</f>
        <v/>
      </c>
      <c r="F477" s="8" t="str" cm="1">
        <f t="array" aca="1" ref="F477" ca="1">IF(INDIRECT("'Student_Record 1'!O" &amp; ROW())="", "", INDIRECT("'Student_Record 1'!O" &amp; ROW()))</f>
        <v/>
      </c>
      <c r="G477" s="11"/>
      <c r="I477" s="11"/>
      <c r="J477" s="11"/>
      <c r="K477" s="11"/>
      <c r="L477" s="11"/>
      <c r="M477" s="11"/>
      <c r="N477" s="11"/>
      <c r="O477" s="11"/>
      <c r="P477" s="11"/>
      <c r="Q477" s="11"/>
    </row>
    <row r="478" spans="1:17" x14ac:dyDescent="0.25">
      <c r="A478" s="8" t="str" cm="1">
        <f t="array" aca="1" ref="A478" ca="1">IF(INDIRECT("'Student_Record 1'!A" &amp; ROW())="", "", INDIRECT("'Student_Record 1'!A" &amp; ROW()))</f>
        <v/>
      </c>
      <c r="B478" s="8" t="str" cm="1">
        <f t="array" aca="1" ref="B478" ca="1">IF(INDIRECT("'Student_Record 1'!C" &amp; ROW())="", "", INDIRECT("'Student_Record 1'!C" &amp; ROW()))</f>
        <v/>
      </c>
      <c r="C478" s="8" t="str" cm="1">
        <f t="array" aca="1" ref="C478" ca="1">IF(INDIRECT("'Student_Record 1'!E" &amp; ROW())="", "", INDIRECT("'Student_Record 1'!E" &amp; ROW()))</f>
        <v/>
      </c>
      <c r="D478" s="8" t="str" cm="1">
        <f t="array" aca="1" ref="D478" ca="1">IF(INDIRECT("'Student_Record 1'!G" &amp; ROW())="", "", INDIRECT("'Student_Record 1'!G" &amp; ROW()))</f>
        <v/>
      </c>
      <c r="E478" s="8" t="str" cm="1">
        <f t="array" aca="1" ref="E478" ca="1">IF(INDIRECT("'Student_Record 1'!I" &amp; ROW())="", "", INDIRECT("'Student_Record 1'!I" &amp; ROW()))</f>
        <v/>
      </c>
      <c r="F478" s="8" t="str" cm="1">
        <f t="array" aca="1" ref="F478" ca="1">IF(INDIRECT("'Student_Record 1'!O" &amp; ROW())="", "", INDIRECT("'Student_Record 1'!O" &amp; ROW()))</f>
        <v/>
      </c>
      <c r="G478" s="11"/>
      <c r="I478" s="11"/>
      <c r="J478" s="11"/>
      <c r="K478" s="11"/>
      <c r="L478" s="11"/>
      <c r="M478" s="11"/>
      <c r="N478" s="11"/>
      <c r="O478" s="11"/>
      <c r="P478" s="11"/>
      <c r="Q478" s="11"/>
    </row>
    <row r="479" spans="1:17" x14ac:dyDescent="0.25">
      <c r="A479" s="8" t="str" cm="1">
        <f t="array" aca="1" ref="A479" ca="1">IF(INDIRECT("'Student_Record 1'!A" &amp; ROW())="", "", INDIRECT("'Student_Record 1'!A" &amp; ROW()))</f>
        <v/>
      </c>
      <c r="B479" s="8" t="str" cm="1">
        <f t="array" aca="1" ref="B479" ca="1">IF(INDIRECT("'Student_Record 1'!C" &amp; ROW())="", "", INDIRECT("'Student_Record 1'!C" &amp; ROW()))</f>
        <v/>
      </c>
      <c r="C479" s="8" t="str" cm="1">
        <f t="array" aca="1" ref="C479" ca="1">IF(INDIRECT("'Student_Record 1'!E" &amp; ROW())="", "", INDIRECT("'Student_Record 1'!E" &amp; ROW()))</f>
        <v/>
      </c>
      <c r="D479" s="8" t="str" cm="1">
        <f t="array" aca="1" ref="D479" ca="1">IF(INDIRECT("'Student_Record 1'!G" &amp; ROW())="", "", INDIRECT("'Student_Record 1'!G" &amp; ROW()))</f>
        <v/>
      </c>
      <c r="E479" s="8" t="str" cm="1">
        <f t="array" aca="1" ref="E479" ca="1">IF(INDIRECT("'Student_Record 1'!I" &amp; ROW())="", "", INDIRECT("'Student_Record 1'!I" &amp; ROW()))</f>
        <v/>
      </c>
      <c r="F479" s="8" t="str" cm="1">
        <f t="array" aca="1" ref="F479" ca="1">IF(INDIRECT("'Student_Record 1'!O" &amp; ROW())="", "", INDIRECT("'Student_Record 1'!O" &amp; ROW()))</f>
        <v/>
      </c>
      <c r="G479" s="11"/>
      <c r="I479" s="11"/>
      <c r="J479" s="11"/>
      <c r="K479" s="11"/>
      <c r="L479" s="11"/>
      <c r="M479" s="11"/>
      <c r="N479" s="11"/>
      <c r="O479" s="11"/>
      <c r="P479" s="11"/>
      <c r="Q479" s="11"/>
    </row>
    <row r="480" spans="1:17" x14ac:dyDescent="0.25">
      <c r="A480" s="8" t="str" cm="1">
        <f t="array" aca="1" ref="A480" ca="1">IF(INDIRECT("'Student_Record 1'!A" &amp; ROW())="", "", INDIRECT("'Student_Record 1'!A" &amp; ROW()))</f>
        <v/>
      </c>
      <c r="B480" s="8" t="str" cm="1">
        <f t="array" aca="1" ref="B480" ca="1">IF(INDIRECT("'Student_Record 1'!C" &amp; ROW())="", "", INDIRECT("'Student_Record 1'!C" &amp; ROW()))</f>
        <v/>
      </c>
      <c r="C480" s="8" t="str" cm="1">
        <f t="array" aca="1" ref="C480" ca="1">IF(INDIRECT("'Student_Record 1'!E" &amp; ROW())="", "", INDIRECT("'Student_Record 1'!E" &amp; ROW()))</f>
        <v/>
      </c>
      <c r="D480" s="8" t="str" cm="1">
        <f t="array" aca="1" ref="D480" ca="1">IF(INDIRECT("'Student_Record 1'!G" &amp; ROW())="", "", INDIRECT("'Student_Record 1'!G" &amp; ROW()))</f>
        <v/>
      </c>
      <c r="E480" s="8" t="str" cm="1">
        <f t="array" aca="1" ref="E480" ca="1">IF(INDIRECT("'Student_Record 1'!I" &amp; ROW())="", "", INDIRECT("'Student_Record 1'!I" &amp; ROW()))</f>
        <v/>
      </c>
      <c r="F480" s="8" t="str" cm="1">
        <f t="array" aca="1" ref="F480" ca="1">IF(INDIRECT("'Student_Record 1'!O" &amp; ROW())="", "", INDIRECT("'Student_Record 1'!O" &amp; ROW()))</f>
        <v/>
      </c>
      <c r="G480" s="11"/>
      <c r="I480" s="11"/>
      <c r="J480" s="11"/>
      <c r="K480" s="11"/>
      <c r="L480" s="11"/>
      <c r="M480" s="11"/>
      <c r="N480" s="11"/>
      <c r="O480" s="11"/>
      <c r="P480" s="11"/>
      <c r="Q480" s="11"/>
    </row>
    <row r="481" spans="1:17" x14ac:dyDescent="0.25">
      <c r="A481" s="8" t="str" cm="1">
        <f t="array" aca="1" ref="A481" ca="1">IF(INDIRECT("'Student_Record 1'!A" &amp; ROW())="", "", INDIRECT("'Student_Record 1'!A" &amp; ROW()))</f>
        <v/>
      </c>
      <c r="B481" s="8" t="str" cm="1">
        <f t="array" aca="1" ref="B481" ca="1">IF(INDIRECT("'Student_Record 1'!C" &amp; ROW())="", "", INDIRECT("'Student_Record 1'!C" &amp; ROW()))</f>
        <v/>
      </c>
      <c r="C481" s="8" t="str" cm="1">
        <f t="array" aca="1" ref="C481" ca="1">IF(INDIRECT("'Student_Record 1'!E" &amp; ROW())="", "", INDIRECT("'Student_Record 1'!E" &amp; ROW()))</f>
        <v/>
      </c>
      <c r="D481" s="8" t="str" cm="1">
        <f t="array" aca="1" ref="D481" ca="1">IF(INDIRECT("'Student_Record 1'!G" &amp; ROW())="", "", INDIRECT("'Student_Record 1'!G" &amp; ROW()))</f>
        <v/>
      </c>
      <c r="E481" s="8" t="str" cm="1">
        <f t="array" aca="1" ref="E481" ca="1">IF(INDIRECT("'Student_Record 1'!I" &amp; ROW())="", "", INDIRECT("'Student_Record 1'!I" &amp; ROW()))</f>
        <v/>
      </c>
      <c r="F481" s="8" t="str" cm="1">
        <f t="array" aca="1" ref="F481" ca="1">IF(INDIRECT("'Student_Record 1'!O" &amp; ROW())="", "", INDIRECT("'Student_Record 1'!O" &amp; ROW()))</f>
        <v/>
      </c>
      <c r="G481" s="11"/>
      <c r="I481" s="11"/>
      <c r="J481" s="11"/>
      <c r="K481" s="11"/>
      <c r="L481" s="11"/>
      <c r="M481" s="11"/>
      <c r="N481" s="11"/>
      <c r="O481" s="11"/>
      <c r="P481" s="11"/>
      <c r="Q481" s="11"/>
    </row>
    <row r="482" spans="1:17" x14ac:dyDescent="0.25">
      <c r="A482" s="8" t="str" cm="1">
        <f t="array" aca="1" ref="A482" ca="1">IF(INDIRECT("'Student_Record 1'!A" &amp; ROW())="", "", INDIRECT("'Student_Record 1'!A" &amp; ROW()))</f>
        <v/>
      </c>
      <c r="B482" s="8" t="str" cm="1">
        <f t="array" aca="1" ref="B482" ca="1">IF(INDIRECT("'Student_Record 1'!C" &amp; ROW())="", "", INDIRECT("'Student_Record 1'!C" &amp; ROW()))</f>
        <v/>
      </c>
      <c r="C482" s="8" t="str" cm="1">
        <f t="array" aca="1" ref="C482" ca="1">IF(INDIRECT("'Student_Record 1'!E" &amp; ROW())="", "", INDIRECT("'Student_Record 1'!E" &amp; ROW()))</f>
        <v/>
      </c>
      <c r="D482" s="8" t="str" cm="1">
        <f t="array" aca="1" ref="D482" ca="1">IF(INDIRECT("'Student_Record 1'!G" &amp; ROW())="", "", INDIRECT("'Student_Record 1'!G" &amp; ROW()))</f>
        <v/>
      </c>
      <c r="E482" s="8" t="str" cm="1">
        <f t="array" aca="1" ref="E482" ca="1">IF(INDIRECT("'Student_Record 1'!I" &amp; ROW())="", "", INDIRECT("'Student_Record 1'!I" &amp; ROW()))</f>
        <v/>
      </c>
      <c r="F482" s="8" t="str" cm="1">
        <f t="array" aca="1" ref="F482" ca="1">IF(INDIRECT("'Student_Record 1'!O" &amp; ROW())="", "", INDIRECT("'Student_Record 1'!O" &amp; ROW()))</f>
        <v/>
      </c>
      <c r="G482" s="11"/>
      <c r="I482" s="11"/>
      <c r="J482" s="11"/>
      <c r="K482" s="11"/>
      <c r="L482" s="11"/>
      <c r="M482" s="11"/>
      <c r="N482" s="11"/>
      <c r="O482" s="11"/>
      <c r="P482" s="11"/>
      <c r="Q482" s="11"/>
    </row>
    <row r="483" spans="1:17" x14ac:dyDescent="0.25">
      <c r="A483" s="8" t="str" cm="1">
        <f t="array" aca="1" ref="A483" ca="1">IF(INDIRECT("'Student_Record 1'!A" &amp; ROW())="", "", INDIRECT("'Student_Record 1'!A" &amp; ROW()))</f>
        <v/>
      </c>
      <c r="B483" s="8" t="str" cm="1">
        <f t="array" aca="1" ref="B483" ca="1">IF(INDIRECT("'Student_Record 1'!C" &amp; ROW())="", "", INDIRECT("'Student_Record 1'!C" &amp; ROW()))</f>
        <v/>
      </c>
      <c r="C483" s="8" t="str" cm="1">
        <f t="array" aca="1" ref="C483" ca="1">IF(INDIRECT("'Student_Record 1'!E" &amp; ROW())="", "", INDIRECT("'Student_Record 1'!E" &amp; ROW()))</f>
        <v/>
      </c>
      <c r="D483" s="8" t="str" cm="1">
        <f t="array" aca="1" ref="D483" ca="1">IF(INDIRECT("'Student_Record 1'!G" &amp; ROW())="", "", INDIRECT("'Student_Record 1'!G" &amp; ROW()))</f>
        <v/>
      </c>
      <c r="E483" s="8" t="str" cm="1">
        <f t="array" aca="1" ref="E483" ca="1">IF(INDIRECT("'Student_Record 1'!I" &amp; ROW())="", "", INDIRECT("'Student_Record 1'!I" &amp; ROW()))</f>
        <v/>
      </c>
      <c r="F483" s="8" t="str" cm="1">
        <f t="array" aca="1" ref="F483" ca="1">IF(INDIRECT("'Student_Record 1'!O" &amp; ROW())="", "", INDIRECT("'Student_Record 1'!O" &amp; ROW()))</f>
        <v/>
      </c>
      <c r="G483" s="11"/>
      <c r="I483" s="11"/>
      <c r="J483" s="11"/>
      <c r="K483" s="11"/>
      <c r="L483" s="11"/>
      <c r="M483" s="11"/>
      <c r="N483" s="11"/>
      <c r="O483" s="11"/>
      <c r="P483" s="11"/>
      <c r="Q483" s="11"/>
    </row>
    <row r="484" spans="1:17" x14ac:dyDescent="0.25">
      <c r="A484" s="8" t="str" cm="1">
        <f t="array" aca="1" ref="A484" ca="1">IF(INDIRECT("'Student_Record 1'!A" &amp; ROW())="", "", INDIRECT("'Student_Record 1'!A" &amp; ROW()))</f>
        <v/>
      </c>
      <c r="B484" s="8" t="str" cm="1">
        <f t="array" aca="1" ref="B484" ca="1">IF(INDIRECT("'Student_Record 1'!C" &amp; ROW())="", "", INDIRECT("'Student_Record 1'!C" &amp; ROW()))</f>
        <v/>
      </c>
      <c r="C484" s="8" t="str" cm="1">
        <f t="array" aca="1" ref="C484" ca="1">IF(INDIRECT("'Student_Record 1'!E" &amp; ROW())="", "", INDIRECT("'Student_Record 1'!E" &amp; ROW()))</f>
        <v/>
      </c>
      <c r="D484" s="8" t="str" cm="1">
        <f t="array" aca="1" ref="D484" ca="1">IF(INDIRECT("'Student_Record 1'!G" &amp; ROW())="", "", INDIRECT("'Student_Record 1'!G" &amp; ROW()))</f>
        <v/>
      </c>
      <c r="E484" s="8" t="str" cm="1">
        <f t="array" aca="1" ref="E484" ca="1">IF(INDIRECT("'Student_Record 1'!I" &amp; ROW())="", "", INDIRECT("'Student_Record 1'!I" &amp; ROW()))</f>
        <v/>
      </c>
      <c r="F484" s="8" t="str" cm="1">
        <f t="array" aca="1" ref="F484" ca="1">IF(INDIRECT("'Student_Record 1'!O" &amp; ROW())="", "", INDIRECT("'Student_Record 1'!O" &amp; ROW()))</f>
        <v/>
      </c>
      <c r="G484" s="11"/>
      <c r="I484" s="11"/>
      <c r="J484" s="11"/>
      <c r="K484" s="11"/>
      <c r="L484" s="11"/>
      <c r="M484" s="11"/>
      <c r="N484" s="11"/>
      <c r="O484" s="11"/>
      <c r="P484" s="11"/>
      <c r="Q484" s="11"/>
    </row>
    <row r="485" spans="1:17" x14ac:dyDescent="0.25">
      <c r="A485" s="8" t="str" cm="1">
        <f t="array" aca="1" ref="A485" ca="1">IF(INDIRECT("'Student_Record 1'!A" &amp; ROW())="", "", INDIRECT("'Student_Record 1'!A" &amp; ROW()))</f>
        <v/>
      </c>
      <c r="B485" s="8" t="str" cm="1">
        <f t="array" aca="1" ref="B485" ca="1">IF(INDIRECT("'Student_Record 1'!C" &amp; ROW())="", "", INDIRECT("'Student_Record 1'!C" &amp; ROW()))</f>
        <v/>
      </c>
      <c r="C485" s="8" t="str" cm="1">
        <f t="array" aca="1" ref="C485" ca="1">IF(INDIRECT("'Student_Record 1'!E" &amp; ROW())="", "", INDIRECT("'Student_Record 1'!E" &amp; ROW()))</f>
        <v/>
      </c>
      <c r="D485" s="8" t="str" cm="1">
        <f t="array" aca="1" ref="D485" ca="1">IF(INDIRECT("'Student_Record 1'!G" &amp; ROW())="", "", INDIRECT("'Student_Record 1'!G" &amp; ROW()))</f>
        <v/>
      </c>
      <c r="E485" s="8" t="str" cm="1">
        <f t="array" aca="1" ref="E485" ca="1">IF(INDIRECT("'Student_Record 1'!I" &amp; ROW())="", "", INDIRECT("'Student_Record 1'!I" &amp; ROW()))</f>
        <v/>
      </c>
      <c r="F485" s="8" t="str" cm="1">
        <f t="array" aca="1" ref="F485" ca="1">IF(INDIRECT("'Student_Record 1'!O" &amp; ROW())="", "", INDIRECT("'Student_Record 1'!O" &amp; ROW()))</f>
        <v/>
      </c>
      <c r="G485" s="11"/>
      <c r="I485" s="11"/>
      <c r="J485" s="11"/>
      <c r="K485" s="11"/>
      <c r="L485" s="11"/>
      <c r="M485" s="11"/>
      <c r="N485" s="11"/>
      <c r="O485" s="11"/>
      <c r="P485" s="11"/>
      <c r="Q485" s="11"/>
    </row>
    <row r="486" spans="1:17" x14ac:dyDescent="0.25">
      <c r="A486" s="8" t="str" cm="1">
        <f t="array" aca="1" ref="A486" ca="1">IF(INDIRECT("'Student_Record 1'!A" &amp; ROW())="", "", INDIRECT("'Student_Record 1'!A" &amp; ROW()))</f>
        <v/>
      </c>
      <c r="B486" s="8" t="str" cm="1">
        <f t="array" aca="1" ref="B486" ca="1">IF(INDIRECT("'Student_Record 1'!C" &amp; ROW())="", "", INDIRECT("'Student_Record 1'!C" &amp; ROW()))</f>
        <v/>
      </c>
      <c r="C486" s="8" t="str" cm="1">
        <f t="array" aca="1" ref="C486" ca="1">IF(INDIRECT("'Student_Record 1'!E" &amp; ROW())="", "", INDIRECT("'Student_Record 1'!E" &amp; ROW()))</f>
        <v/>
      </c>
      <c r="D486" s="8" t="str" cm="1">
        <f t="array" aca="1" ref="D486" ca="1">IF(INDIRECT("'Student_Record 1'!G" &amp; ROW())="", "", INDIRECT("'Student_Record 1'!G" &amp; ROW()))</f>
        <v/>
      </c>
      <c r="E486" s="8" t="str" cm="1">
        <f t="array" aca="1" ref="E486" ca="1">IF(INDIRECT("'Student_Record 1'!I" &amp; ROW())="", "", INDIRECT("'Student_Record 1'!I" &amp; ROW()))</f>
        <v/>
      </c>
      <c r="F486" s="8" t="str" cm="1">
        <f t="array" aca="1" ref="F486" ca="1">IF(INDIRECT("'Student_Record 1'!O" &amp; ROW())="", "", INDIRECT("'Student_Record 1'!O" &amp; ROW()))</f>
        <v/>
      </c>
      <c r="G486" s="11"/>
      <c r="I486" s="11"/>
      <c r="J486" s="11"/>
      <c r="K486" s="11"/>
      <c r="L486" s="11"/>
      <c r="M486" s="11"/>
      <c r="N486" s="11"/>
      <c r="O486" s="11"/>
      <c r="P486" s="11"/>
      <c r="Q486" s="11"/>
    </row>
    <row r="487" spans="1:17" x14ac:dyDescent="0.25">
      <c r="A487" s="8" t="str" cm="1">
        <f t="array" aca="1" ref="A487" ca="1">IF(INDIRECT("'Student_Record 1'!A" &amp; ROW())="", "", INDIRECT("'Student_Record 1'!A" &amp; ROW()))</f>
        <v/>
      </c>
      <c r="B487" s="8" t="str" cm="1">
        <f t="array" aca="1" ref="B487" ca="1">IF(INDIRECT("'Student_Record 1'!C" &amp; ROW())="", "", INDIRECT("'Student_Record 1'!C" &amp; ROW()))</f>
        <v/>
      </c>
      <c r="C487" s="8" t="str" cm="1">
        <f t="array" aca="1" ref="C487" ca="1">IF(INDIRECT("'Student_Record 1'!E" &amp; ROW())="", "", INDIRECT("'Student_Record 1'!E" &amp; ROW()))</f>
        <v/>
      </c>
      <c r="D487" s="8" t="str" cm="1">
        <f t="array" aca="1" ref="D487" ca="1">IF(INDIRECT("'Student_Record 1'!G" &amp; ROW())="", "", INDIRECT("'Student_Record 1'!G" &amp; ROW()))</f>
        <v/>
      </c>
      <c r="E487" s="8" t="str" cm="1">
        <f t="array" aca="1" ref="E487" ca="1">IF(INDIRECT("'Student_Record 1'!I" &amp; ROW())="", "", INDIRECT("'Student_Record 1'!I" &amp; ROW()))</f>
        <v/>
      </c>
      <c r="F487" s="8" t="str" cm="1">
        <f t="array" aca="1" ref="F487" ca="1">IF(INDIRECT("'Student_Record 1'!O" &amp; ROW())="", "", INDIRECT("'Student_Record 1'!O" &amp; ROW()))</f>
        <v/>
      </c>
      <c r="G487" s="11"/>
      <c r="I487" s="11"/>
      <c r="J487" s="11"/>
      <c r="K487" s="11"/>
      <c r="L487" s="11"/>
      <c r="M487" s="11"/>
      <c r="N487" s="11"/>
      <c r="O487" s="11"/>
      <c r="P487" s="11"/>
      <c r="Q487" s="11"/>
    </row>
    <row r="488" spans="1:17" x14ac:dyDescent="0.25">
      <c r="A488" s="8" t="str" cm="1">
        <f t="array" aca="1" ref="A488" ca="1">IF(INDIRECT("'Student_Record 1'!A" &amp; ROW())="", "", INDIRECT("'Student_Record 1'!A" &amp; ROW()))</f>
        <v/>
      </c>
      <c r="B488" s="8" t="str" cm="1">
        <f t="array" aca="1" ref="B488" ca="1">IF(INDIRECT("'Student_Record 1'!C" &amp; ROW())="", "", INDIRECT("'Student_Record 1'!C" &amp; ROW()))</f>
        <v/>
      </c>
      <c r="C488" s="8" t="str" cm="1">
        <f t="array" aca="1" ref="C488" ca="1">IF(INDIRECT("'Student_Record 1'!E" &amp; ROW())="", "", INDIRECT("'Student_Record 1'!E" &amp; ROW()))</f>
        <v/>
      </c>
      <c r="D488" s="8" t="str" cm="1">
        <f t="array" aca="1" ref="D488" ca="1">IF(INDIRECT("'Student_Record 1'!G" &amp; ROW())="", "", INDIRECT("'Student_Record 1'!G" &amp; ROW()))</f>
        <v/>
      </c>
      <c r="E488" s="8" t="str" cm="1">
        <f t="array" aca="1" ref="E488" ca="1">IF(INDIRECT("'Student_Record 1'!I" &amp; ROW())="", "", INDIRECT("'Student_Record 1'!I" &amp; ROW()))</f>
        <v/>
      </c>
      <c r="F488" s="8" t="str" cm="1">
        <f t="array" aca="1" ref="F488" ca="1">IF(INDIRECT("'Student_Record 1'!O" &amp; ROW())="", "", INDIRECT("'Student_Record 1'!O" &amp; ROW()))</f>
        <v/>
      </c>
      <c r="G488" s="11"/>
      <c r="I488" s="11"/>
      <c r="J488" s="11"/>
      <c r="K488" s="11"/>
      <c r="L488" s="11"/>
      <c r="M488" s="11"/>
      <c r="N488" s="11"/>
      <c r="O488" s="11"/>
      <c r="P488" s="11"/>
      <c r="Q488" s="11"/>
    </row>
    <row r="489" spans="1:17" x14ac:dyDescent="0.25">
      <c r="A489" s="8" t="str" cm="1">
        <f t="array" aca="1" ref="A489" ca="1">IF(INDIRECT("'Student_Record 1'!A" &amp; ROW())="", "", INDIRECT("'Student_Record 1'!A" &amp; ROW()))</f>
        <v/>
      </c>
      <c r="B489" s="8" t="str" cm="1">
        <f t="array" aca="1" ref="B489" ca="1">IF(INDIRECT("'Student_Record 1'!C" &amp; ROW())="", "", INDIRECT("'Student_Record 1'!C" &amp; ROW()))</f>
        <v/>
      </c>
      <c r="C489" s="8" t="str" cm="1">
        <f t="array" aca="1" ref="C489" ca="1">IF(INDIRECT("'Student_Record 1'!E" &amp; ROW())="", "", INDIRECT("'Student_Record 1'!E" &amp; ROW()))</f>
        <v/>
      </c>
      <c r="D489" s="8" t="str" cm="1">
        <f t="array" aca="1" ref="D489" ca="1">IF(INDIRECT("'Student_Record 1'!G" &amp; ROW())="", "", INDIRECT("'Student_Record 1'!G" &amp; ROW()))</f>
        <v/>
      </c>
      <c r="E489" s="8" t="str" cm="1">
        <f t="array" aca="1" ref="E489" ca="1">IF(INDIRECT("'Student_Record 1'!I" &amp; ROW())="", "", INDIRECT("'Student_Record 1'!I" &amp; ROW()))</f>
        <v/>
      </c>
      <c r="F489" s="8" t="str" cm="1">
        <f t="array" aca="1" ref="F489" ca="1">IF(INDIRECT("'Student_Record 1'!O" &amp; ROW())="", "", INDIRECT("'Student_Record 1'!O" &amp; ROW()))</f>
        <v/>
      </c>
      <c r="G489" s="11"/>
      <c r="I489" s="11"/>
      <c r="J489" s="11"/>
      <c r="K489" s="11"/>
      <c r="L489" s="11"/>
      <c r="M489" s="11"/>
      <c r="N489" s="11"/>
      <c r="O489" s="11"/>
      <c r="P489" s="11"/>
      <c r="Q489" s="11"/>
    </row>
    <row r="490" spans="1:17" x14ac:dyDescent="0.25">
      <c r="A490" s="8" t="str" cm="1">
        <f t="array" aca="1" ref="A490" ca="1">IF(INDIRECT("'Student_Record 1'!A" &amp; ROW())="", "", INDIRECT("'Student_Record 1'!A" &amp; ROW()))</f>
        <v/>
      </c>
      <c r="B490" s="8" t="str" cm="1">
        <f t="array" aca="1" ref="B490" ca="1">IF(INDIRECT("'Student_Record 1'!C" &amp; ROW())="", "", INDIRECT("'Student_Record 1'!C" &amp; ROW()))</f>
        <v/>
      </c>
      <c r="C490" s="8" t="str" cm="1">
        <f t="array" aca="1" ref="C490" ca="1">IF(INDIRECT("'Student_Record 1'!E" &amp; ROW())="", "", INDIRECT("'Student_Record 1'!E" &amp; ROW()))</f>
        <v/>
      </c>
      <c r="D490" s="8" t="str" cm="1">
        <f t="array" aca="1" ref="D490" ca="1">IF(INDIRECT("'Student_Record 1'!G" &amp; ROW())="", "", INDIRECT("'Student_Record 1'!G" &amp; ROW()))</f>
        <v/>
      </c>
      <c r="E490" s="8" t="str" cm="1">
        <f t="array" aca="1" ref="E490" ca="1">IF(INDIRECT("'Student_Record 1'!I" &amp; ROW())="", "", INDIRECT("'Student_Record 1'!I" &amp; ROW()))</f>
        <v/>
      </c>
      <c r="F490" s="8" t="str" cm="1">
        <f t="array" aca="1" ref="F490" ca="1">IF(INDIRECT("'Student_Record 1'!O" &amp; ROW())="", "", INDIRECT("'Student_Record 1'!O" &amp; ROW()))</f>
        <v/>
      </c>
      <c r="G490" s="11"/>
      <c r="I490" s="11"/>
      <c r="J490" s="11"/>
      <c r="K490" s="11"/>
      <c r="L490" s="11"/>
      <c r="M490" s="11"/>
      <c r="N490" s="11"/>
      <c r="O490" s="11"/>
      <c r="P490" s="11"/>
      <c r="Q490" s="11"/>
    </row>
    <row r="491" spans="1:17" x14ac:dyDescent="0.25">
      <c r="A491" s="8" t="str" cm="1">
        <f t="array" aca="1" ref="A491" ca="1">IF(INDIRECT("'Student_Record 1'!A" &amp; ROW())="", "", INDIRECT("'Student_Record 1'!A" &amp; ROW()))</f>
        <v/>
      </c>
      <c r="B491" s="8" t="str" cm="1">
        <f t="array" aca="1" ref="B491" ca="1">IF(INDIRECT("'Student_Record 1'!C" &amp; ROW())="", "", INDIRECT("'Student_Record 1'!C" &amp; ROW()))</f>
        <v/>
      </c>
      <c r="C491" s="8" t="str" cm="1">
        <f t="array" aca="1" ref="C491" ca="1">IF(INDIRECT("'Student_Record 1'!E" &amp; ROW())="", "", INDIRECT("'Student_Record 1'!E" &amp; ROW()))</f>
        <v/>
      </c>
      <c r="D491" s="8" t="str" cm="1">
        <f t="array" aca="1" ref="D491" ca="1">IF(INDIRECT("'Student_Record 1'!G" &amp; ROW())="", "", INDIRECT("'Student_Record 1'!G" &amp; ROW()))</f>
        <v/>
      </c>
      <c r="E491" s="8" t="str" cm="1">
        <f t="array" aca="1" ref="E491" ca="1">IF(INDIRECT("'Student_Record 1'!I" &amp; ROW())="", "", INDIRECT("'Student_Record 1'!I" &amp; ROW()))</f>
        <v/>
      </c>
      <c r="F491" s="8" t="str" cm="1">
        <f t="array" aca="1" ref="F491" ca="1">IF(INDIRECT("'Student_Record 1'!O" &amp; ROW())="", "", INDIRECT("'Student_Record 1'!O" &amp; ROW()))</f>
        <v/>
      </c>
      <c r="G491" s="11"/>
      <c r="I491" s="11"/>
      <c r="J491" s="11"/>
      <c r="K491" s="11"/>
      <c r="L491" s="11"/>
      <c r="M491" s="11"/>
      <c r="N491" s="11"/>
      <c r="O491" s="11"/>
      <c r="P491" s="11"/>
      <c r="Q491" s="11"/>
    </row>
    <row r="492" spans="1:17" x14ac:dyDescent="0.25">
      <c r="A492" s="8" t="str" cm="1">
        <f t="array" aca="1" ref="A492" ca="1">IF(INDIRECT("'Student_Record 1'!A" &amp; ROW())="", "", INDIRECT("'Student_Record 1'!A" &amp; ROW()))</f>
        <v/>
      </c>
      <c r="B492" s="8" t="str" cm="1">
        <f t="array" aca="1" ref="B492" ca="1">IF(INDIRECT("'Student_Record 1'!C" &amp; ROW())="", "", INDIRECT("'Student_Record 1'!C" &amp; ROW()))</f>
        <v/>
      </c>
      <c r="C492" s="8" t="str" cm="1">
        <f t="array" aca="1" ref="C492" ca="1">IF(INDIRECT("'Student_Record 1'!E" &amp; ROW())="", "", INDIRECT("'Student_Record 1'!E" &amp; ROW()))</f>
        <v/>
      </c>
      <c r="D492" s="8" t="str" cm="1">
        <f t="array" aca="1" ref="D492" ca="1">IF(INDIRECT("'Student_Record 1'!G" &amp; ROW())="", "", INDIRECT("'Student_Record 1'!G" &amp; ROW()))</f>
        <v/>
      </c>
      <c r="E492" s="8" t="str" cm="1">
        <f t="array" aca="1" ref="E492" ca="1">IF(INDIRECT("'Student_Record 1'!I" &amp; ROW())="", "", INDIRECT("'Student_Record 1'!I" &amp; ROW()))</f>
        <v/>
      </c>
      <c r="F492" s="8" t="str" cm="1">
        <f t="array" aca="1" ref="F492" ca="1">IF(INDIRECT("'Student_Record 1'!O" &amp; ROW())="", "", INDIRECT("'Student_Record 1'!O" &amp; ROW()))</f>
        <v/>
      </c>
      <c r="G492" s="11"/>
      <c r="I492" s="11"/>
      <c r="J492" s="11"/>
      <c r="K492" s="11"/>
      <c r="L492" s="11"/>
      <c r="M492" s="11"/>
      <c r="N492" s="11"/>
      <c r="O492" s="11"/>
      <c r="P492" s="11"/>
      <c r="Q492" s="11"/>
    </row>
    <row r="493" spans="1:17" x14ac:dyDescent="0.25">
      <c r="A493" s="8" t="str" cm="1">
        <f t="array" aca="1" ref="A493" ca="1">IF(INDIRECT("'Student_Record 1'!A" &amp; ROW())="", "", INDIRECT("'Student_Record 1'!A" &amp; ROW()))</f>
        <v/>
      </c>
      <c r="B493" s="8" t="str" cm="1">
        <f t="array" aca="1" ref="B493" ca="1">IF(INDIRECT("'Student_Record 1'!C" &amp; ROW())="", "", INDIRECT("'Student_Record 1'!C" &amp; ROW()))</f>
        <v/>
      </c>
      <c r="C493" s="8" t="str" cm="1">
        <f t="array" aca="1" ref="C493" ca="1">IF(INDIRECT("'Student_Record 1'!E" &amp; ROW())="", "", INDIRECT("'Student_Record 1'!E" &amp; ROW()))</f>
        <v/>
      </c>
      <c r="D493" s="8" t="str" cm="1">
        <f t="array" aca="1" ref="D493" ca="1">IF(INDIRECT("'Student_Record 1'!G" &amp; ROW())="", "", INDIRECT("'Student_Record 1'!G" &amp; ROW()))</f>
        <v/>
      </c>
      <c r="E493" s="8" t="str" cm="1">
        <f t="array" aca="1" ref="E493" ca="1">IF(INDIRECT("'Student_Record 1'!I" &amp; ROW())="", "", INDIRECT("'Student_Record 1'!I" &amp; ROW()))</f>
        <v/>
      </c>
      <c r="F493" s="8" t="str" cm="1">
        <f t="array" aca="1" ref="F493" ca="1">IF(INDIRECT("'Student_Record 1'!O" &amp; ROW())="", "", INDIRECT("'Student_Record 1'!O" &amp; ROW()))</f>
        <v/>
      </c>
      <c r="G493" s="11"/>
      <c r="I493" s="11"/>
      <c r="J493" s="11"/>
      <c r="K493" s="11"/>
      <c r="L493" s="11"/>
      <c r="M493" s="11"/>
      <c r="N493" s="11"/>
      <c r="O493" s="11"/>
      <c r="P493" s="11"/>
      <c r="Q493" s="11"/>
    </row>
    <row r="494" spans="1:17" x14ac:dyDescent="0.25">
      <c r="A494" s="8" t="str" cm="1">
        <f t="array" aca="1" ref="A494" ca="1">IF(INDIRECT("'Student_Record 1'!A" &amp; ROW())="", "", INDIRECT("'Student_Record 1'!A" &amp; ROW()))</f>
        <v/>
      </c>
      <c r="B494" s="8" t="str" cm="1">
        <f t="array" aca="1" ref="B494" ca="1">IF(INDIRECT("'Student_Record 1'!C" &amp; ROW())="", "", INDIRECT("'Student_Record 1'!C" &amp; ROW()))</f>
        <v/>
      </c>
      <c r="C494" s="8" t="str" cm="1">
        <f t="array" aca="1" ref="C494" ca="1">IF(INDIRECT("'Student_Record 1'!E" &amp; ROW())="", "", INDIRECT("'Student_Record 1'!E" &amp; ROW()))</f>
        <v/>
      </c>
      <c r="D494" s="8" t="str" cm="1">
        <f t="array" aca="1" ref="D494" ca="1">IF(INDIRECT("'Student_Record 1'!G" &amp; ROW())="", "", INDIRECT("'Student_Record 1'!G" &amp; ROW()))</f>
        <v/>
      </c>
      <c r="E494" s="8" t="str" cm="1">
        <f t="array" aca="1" ref="E494" ca="1">IF(INDIRECT("'Student_Record 1'!I" &amp; ROW())="", "", INDIRECT("'Student_Record 1'!I" &amp; ROW()))</f>
        <v/>
      </c>
      <c r="F494" s="8" t="str" cm="1">
        <f t="array" aca="1" ref="F494" ca="1">IF(INDIRECT("'Student_Record 1'!O" &amp; ROW())="", "", INDIRECT("'Student_Record 1'!O" &amp; ROW()))</f>
        <v/>
      </c>
      <c r="G494" s="11"/>
      <c r="I494" s="11"/>
      <c r="J494" s="11"/>
      <c r="K494" s="11"/>
      <c r="L494" s="11"/>
      <c r="M494" s="11"/>
      <c r="N494" s="11"/>
      <c r="O494" s="11"/>
      <c r="P494" s="11"/>
      <c r="Q494" s="11"/>
    </row>
    <row r="495" spans="1:17" x14ac:dyDescent="0.25">
      <c r="A495" s="8" t="str" cm="1">
        <f t="array" aca="1" ref="A495" ca="1">IF(INDIRECT("'Student_Record 1'!A" &amp; ROW())="", "", INDIRECT("'Student_Record 1'!A" &amp; ROW()))</f>
        <v/>
      </c>
      <c r="B495" s="8" t="str" cm="1">
        <f t="array" aca="1" ref="B495" ca="1">IF(INDIRECT("'Student_Record 1'!C" &amp; ROW())="", "", INDIRECT("'Student_Record 1'!C" &amp; ROW()))</f>
        <v/>
      </c>
      <c r="C495" s="8" t="str" cm="1">
        <f t="array" aca="1" ref="C495" ca="1">IF(INDIRECT("'Student_Record 1'!E" &amp; ROW())="", "", INDIRECT("'Student_Record 1'!E" &amp; ROW()))</f>
        <v/>
      </c>
      <c r="D495" s="8" t="str" cm="1">
        <f t="array" aca="1" ref="D495" ca="1">IF(INDIRECT("'Student_Record 1'!G" &amp; ROW())="", "", INDIRECT("'Student_Record 1'!G" &amp; ROW()))</f>
        <v/>
      </c>
      <c r="E495" s="8" t="str" cm="1">
        <f t="array" aca="1" ref="E495" ca="1">IF(INDIRECT("'Student_Record 1'!I" &amp; ROW())="", "", INDIRECT("'Student_Record 1'!I" &amp; ROW()))</f>
        <v/>
      </c>
      <c r="F495" s="8" t="str" cm="1">
        <f t="array" aca="1" ref="F495" ca="1">IF(INDIRECT("'Student_Record 1'!O" &amp; ROW())="", "", INDIRECT("'Student_Record 1'!O" &amp; ROW()))</f>
        <v/>
      </c>
      <c r="G495" s="11"/>
      <c r="I495" s="11"/>
      <c r="J495" s="11"/>
      <c r="K495" s="11"/>
      <c r="L495" s="11"/>
      <c r="M495" s="11"/>
      <c r="N495" s="11"/>
      <c r="O495" s="11"/>
      <c r="P495" s="11"/>
      <c r="Q495" s="11"/>
    </row>
    <row r="496" spans="1:17" x14ac:dyDescent="0.25">
      <c r="A496" s="8" t="str" cm="1">
        <f t="array" aca="1" ref="A496" ca="1">IF(INDIRECT("'Student_Record 1'!A" &amp; ROW())="", "", INDIRECT("'Student_Record 1'!A" &amp; ROW()))</f>
        <v/>
      </c>
      <c r="B496" s="8" t="str" cm="1">
        <f t="array" aca="1" ref="B496" ca="1">IF(INDIRECT("'Student_Record 1'!C" &amp; ROW())="", "", INDIRECT("'Student_Record 1'!C" &amp; ROW()))</f>
        <v/>
      </c>
      <c r="C496" s="8" t="str" cm="1">
        <f t="array" aca="1" ref="C496" ca="1">IF(INDIRECT("'Student_Record 1'!E" &amp; ROW())="", "", INDIRECT("'Student_Record 1'!E" &amp; ROW()))</f>
        <v/>
      </c>
      <c r="D496" s="8" t="str" cm="1">
        <f t="array" aca="1" ref="D496" ca="1">IF(INDIRECT("'Student_Record 1'!G" &amp; ROW())="", "", INDIRECT("'Student_Record 1'!G" &amp; ROW()))</f>
        <v/>
      </c>
      <c r="E496" s="8" t="str" cm="1">
        <f t="array" aca="1" ref="E496" ca="1">IF(INDIRECT("'Student_Record 1'!I" &amp; ROW())="", "", INDIRECT("'Student_Record 1'!I" &amp; ROW()))</f>
        <v/>
      </c>
      <c r="F496" s="8" t="str" cm="1">
        <f t="array" aca="1" ref="F496" ca="1">IF(INDIRECT("'Student_Record 1'!O" &amp; ROW())="", "", INDIRECT("'Student_Record 1'!O" &amp; ROW()))</f>
        <v/>
      </c>
      <c r="G496" s="11"/>
      <c r="I496" s="11"/>
      <c r="J496" s="11"/>
      <c r="K496" s="11"/>
      <c r="L496" s="11"/>
      <c r="M496" s="11"/>
      <c r="N496" s="11"/>
      <c r="O496" s="11"/>
      <c r="P496" s="11"/>
      <c r="Q496" s="11"/>
    </row>
    <row r="497" spans="1:17" x14ac:dyDescent="0.25">
      <c r="A497" s="8" t="str" cm="1">
        <f t="array" aca="1" ref="A497" ca="1">IF(INDIRECT("'Student_Record 1'!A" &amp; ROW())="", "", INDIRECT("'Student_Record 1'!A" &amp; ROW()))</f>
        <v/>
      </c>
      <c r="B497" s="8" t="str" cm="1">
        <f t="array" aca="1" ref="B497" ca="1">IF(INDIRECT("'Student_Record 1'!C" &amp; ROW())="", "", INDIRECT("'Student_Record 1'!C" &amp; ROW()))</f>
        <v/>
      </c>
      <c r="C497" s="8" t="str" cm="1">
        <f t="array" aca="1" ref="C497" ca="1">IF(INDIRECT("'Student_Record 1'!E" &amp; ROW())="", "", INDIRECT("'Student_Record 1'!E" &amp; ROW()))</f>
        <v/>
      </c>
      <c r="D497" s="8" t="str" cm="1">
        <f t="array" aca="1" ref="D497" ca="1">IF(INDIRECT("'Student_Record 1'!G" &amp; ROW())="", "", INDIRECT("'Student_Record 1'!G" &amp; ROW()))</f>
        <v/>
      </c>
      <c r="E497" s="8" t="str" cm="1">
        <f t="array" aca="1" ref="E497" ca="1">IF(INDIRECT("'Student_Record 1'!I" &amp; ROW())="", "", INDIRECT("'Student_Record 1'!I" &amp; ROW()))</f>
        <v/>
      </c>
      <c r="F497" s="8" t="str" cm="1">
        <f t="array" aca="1" ref="F497" ca="1">IF(INDIRECT("'Student_Record 1'!O" &amp; ROW())="", "", INDIRECT("'Student_Record 1'!O" &amp; ROW()))</f>
        <v/>
      </c>
      <c r="G497" s="11"/>
      <c r="I497" s="11"/>
      <c r="J497" s="11"/>
      <c r="K497" s="11"/>
      <c r="L497" s="11"/>
      <c r="M497" s="11"/>
      <c r="N497" s="11"/>
      <c r="O497" s="11"/>
      <c r="P497" s="11"/>
      <c r="Q497" s="11"/>
    </row>
    <row r="498" spans="1:17" x14ac:dyDescent="0.25">
      <c r="A498" s="8" t="str" cm="1">
        <f t="array" aca="1" ref="A498" ca="1">IF(INDIRECT("'Student_Record 1'!A" &amp; ROW())="", "", INDIRECT("'Student_Record 1'!A" &amp; ROW()))</f>
        <v/>
      </c>
      <c r="B498" s="8" t="str" cm="1">
        <f t="array" aca="1" ref="B498" ca="1">IF(INDIRECT("'Student_Record 1'!C" &amp; ROW())="", "", INDIRECT("'Student_Record 1'!C" &amp; ROW()))</f>
        <v/>
      </c>
      <c r="C498" s="8" t="str" cm="1">
        <f t="array" aca="1" ref="C498" ca="1">IF(INDIRECT("'Student_Record 1'!E" &amp; ROW())="", "", INDIRECT("'Student_Record 1'!E" &amp; ROW()))</f>
        <v/>
      </c>
      <c r="D498" s="8" t="str" cm="1">
        <f t="array" aca="1" ref="D498" ca="1">IF(INDIRECT("'Student_Record 1'!G" &amp; ROW())="", "", INDIRECT("'Student_Record 1'!G" &amp; ROW()))</f>
        <v/>
      </c>
      <c r="E498" s="8" t="str" cm="1">
        <f t="array" aca="1" ref="E498" ca="1">IF(INDIRECT("'Student_Record 1'!I" &amp; ROW())="", "", INDIRECT("'Student_Record 1'!I" &amp; ROW()))</f>
        <v/>
      </c>
      <c r="F498" s="8" t="str" cm="1">
        <f t="array" aca="1" ref="F498" ca="1">IF(INDIRECT("'Student_Record 1'!O" &amp; ROW())="", "", INDIRECT("'Student_Record 1'!O" &amp; ROW()))</f>
        <v/>
      </c>
      <c r="G498" s="11"/>
      <c r="I498" s="11"/>
      <c r="J498" s="11"/>
      <c r="K498" s="11"/>
      <c r="L498" s="11"/>
      <c r="M498" s="11"/>
      <c r="N498" s="11"/>
      <c r="O498" s="11"/>
      <c r="P498" s="11"/>
      <c r="Q498" s="11"/>
    </row>
    <row r="499" spans="1:17" x14ac:dyDescent="0.25">
      <c r="A499" s="8" t="str" cm="1">
        <f t="array" aca="1" ref="A499" ca="1">IF(INDIRECT("'Student_Record 1'!A" &amp; ROW())="", "", INDIRECT("'Student_Record 1'!A" &amp; ROW()))</f>
        <v/>
      </c>
      <c r="B499" s="8" t="str" cm="1">
        <f t="array" aca="1" ref="B499" ca="1">IF(INDIRECT("'Student_Record 1'!C" &amp; ROW())="", "", INDIRECT("'Student_Record 1'!C" &amp; ROW()))</f>
        <v/>
      </c>
      <c r="C499" s="8" t="str" cm="1">
        <f t="array" aca="1" ref="C499" ca="1">IF(INDIRECT("'Student_Record 1'!E" &amp; ROW())="", "", INDIRECT("'Student_Record 1'!E" &amp; ROW()))</f>
        <v/>
      </c>
      <c r="D499" s="8" t="str" cm="1">
        <f t="array" aca="1" ref="D499" ca="1">IF(INDIRECT("'Student_Record 1'!G" &amp; ROW())="", "", INDIRECT("'Student_Record 1'!G" &amp; ROW()))</f>
        <v/>
      </c>
      <c r="E499" s="8" t="str" cm="1">
        <f t="array" aca="1" ref="E499" ca="1">IF(INDIRECT("'Student_Record 1'!I" &amp; ROW())="", "", INDIRECT("'Student_Record 1'!I" &amp; ROW()))</f>
        <v/>
      </c>
      <c r="F499" s="8" t="str" cm="1">
        <f t="array" aca="1" ref="F499" ca="1">IF(INDIRECT("'Student_Record 1'!O" &amp; ROW())="", "", INDIRECT("'Student_Record 1'!O" &amp; ROW()))</f>
        <v/>
      </c>
      <c r="G499" s="11"/>
      <c r="I499" s="11"/>
      <c r="J499" s="11"/>
      <c r="K499" s="11"/>
      <c r="L499" s="11"/>
      <c r="M499" s="11"/>
      <c r="N499" s="11"/>
      <c r="O499" s="11"/>
      <c r="P499" s="11"/>
      <c r="Q499" s="11"/>
    </row>
    <row r="500" spans="1:17" x14ac:dyDescent="0.25">
      <c r="A500" s="8" t="str" cm="1">
        <f t="array" aca="1" ref="A500" ca="1">IF(INDIRECT("'Student_Record 1'!A" &amp; ROW())="", "", INDIRECT("'Student_Record 1'!A" &amp; ROW()))</f>
        <v/>
      </c>
      <c r="B500" s="8" t="str" cm="1">
        <f t="array" aca="1" ref="B500" ca="1">IF(INDIRECT("'Student_Record 1'!C" &amp; ROW())="", "", INDIRECT("'Student_Record 1'!C" &amp; ROW()))</f>
        <v/>
      </c>
      <c r="C500" s="8" t="str" cm="1">
        <f t="array" aca="1" ref="C500" ca="1">IF(INDIRECT("'Student_Record 1'!E" &amp; ROW())="", "", INDIRECT("'Student_Record 1'!E" &amp; ROW()))</f>
        <v/>
      </c>
      <c r="D500" s="8" t="str" cm="1">
        <f t="array" aca="1" ref="D500" ca="1">IF(INDIRECT("'Student_Record 1'!G" &amp; ROW())="", "", INDIRECT("'Student_Record 1'!G" &amp; ROW()))</f>
        <v/>
      </c>
      <c r="E500" s="8" t="str" cm="1">
        <f t="array" aca="1" ref="E500" ca="1">IF(INDIRECT("'Student_Record 1'!I" &amp; ROW())="", "", INDIRECT("'Student_Record 1'!I" &amp; ROW()))</f>
        <v/>
      </c>
      <c r="F500" s="8" t="str" cm="1">
        <f t="array" aca="1" ref="F500" ca="1">IF(INDIRECT("'Student_Record 1'!O" &amp; ROW())="", "", INDIRECT("'Student_Record 1'!O" &amp; ROW()))</f>
        <v/>
      </c>
      <c r="G500" s="11"/>
      <c r="I500" s="11"/>
      <c r="J500" s="11"/>
      <c r="K500" s="11"/>
      <c r="L500" s="11"/>
      <c r="M500" s="11"/>
      <c r="N500" s="11"/>
      <c r="O500" s="11"/>
      <c r="P500" s="11"/>
      <c r="Q500" s="11"/>
    </row>
    <row r="501" spans="1:17" x14ac:dyDescent="0.25">
      <c r="A501" s="8" t="str" cm="1">
        <f t="array" aca="1" ref="A501" ca="1">IF(INDIRECT("'Student_Record 1'!A" &amp; ROW())="", "", INDIRECT("'Student_Record 1'!A" &amp; ROW()))</f>
        <v/>
      </c>
      <c r="B501" s="8" t="str" cm="1">
        <f t="array" aca="1" ref="B501" ca="1">IF(INDIRECT("'Student_Record 1'!C" &amp; ROW())="", "", INDIRECT("'Student_Record 1'!C" &amp; ROW()))</f>
        <v/>
      </c>
      <c r="C501" s="8" t="str" cm="1">
        <f t="array" aca="1" ref="C501" ca="1">IF(INDIRECT("'Student_Record 1'!E" &amp; ROW())="", "", INDIRECT("'Student_Record 1'!E" &amp; ROW()))</f>
        <v/>
      </c>
      <c r="D501" s="8" t="str" cm="1">
        <f t="array" aca="1" ref="D501" ca="1">IF(INDIRECT("'Student_Record 1'!G" &amp; ROW())="", "", INDIRECT("'Student_Record 1'!G" &amp; ROW()))</f>
        <v/>
      </c>
      <c r="E501" s="8" t="str" cm="1">
        <f t="array" aca="1" ref="E501" ca="1">IF(INDIRECT("'Student_Record 1'!I" &amp; ROW())="", "", INDIRECT("'Student_Record 1'!I" &amp; ROW()))</f>
        <v/>
      </c>
      <c r="F501" s="8" t="str" cm="1">
        <f t="array" aca="1" ref="F501" ca="1">IF(INDIRECT("'Student_Record 1'!O" &amp; ROW())="", "", INDIRECT("'Student_Record 1'!O" &amp; ROW()))</f>
        <v/>
      </c>
      <c r="G501" s="11"/>
      <c r="I501" s="11"/>
      <c r="J501" s="11"/>
      <c r="K501" s="11"/>
      <c r="L501" s="11"/>
      <c r="M501" s="11"/>
      <c r="N501" s="11"/>
      <c r="O501" s="11"/>
      <c r="P501" s="11"/>
      <c r="Q501" s="11"/>
    </row>
    <row r="502" spans="1:17" x14ac:dyDescent="0.25">
      <c r="A502" s="8" t="str" cm="1">
        <f t="array" aca="1" ref="A502" ca="1">IF(INDIRECT("'Student_Record 1'!A" &amp; ROW())="", "", INDIRECT("'Student_Record 1'!A" &amp; ROW()))</f>
        <v/>
      </c>
      <c r="B502" s="8" t="str" cm="1">
        <f t="array" aca="1" ref="B502" ca="1">IF(INDIRECT("'Student_Record 1'!C" &amp; ROW())="", "", INDIRECT("'Student_Record 1'!C" &amp; ROW()))</f>
        <v/>
      </c>
      <c r="C502" s="8" t="str" cm="1">
        <f t="array" aca="1" ref="C502" ca="1">IF(INDIRECT("'Student_Record 1'!E" &amp; ROW())="", "", INDIRECT("'Student_Record 1'!E" &amp; ROW()))</f>
        <v/>
      </c>
      <c r="D502" s="8" t="str" cm="1">
        <f t="array" aca="1" ref="D502" ca="1">IF(INDIRECT("'Student_Record 1'!G" &amp; ROW())="", "", INDIRECT("'Student_Record 1'!G" &amp; ROW()))</f>
        <v/>
      </c>
      <c r="E502" s="8" t="str" cm="1">
        <f t="array" aca="1" ref="E502" ca="1">IF(INDIRECT("'Student_Record 1'!I" &amp; ROW())="", "", INDIRECT("'Student_Record 1'!I" &amp; ROW()))</f>
        <v/>
      </c>
      <c r="F502" s="8" t="str" cm="1">
        <f t="array" aca="1" ref="F502" ca="1">IF(INDIRECT("'Student_Record 1'!O" &amp; ROW())="", "", INDIRECT("'Student_Record 1'!O" &amp; ROW()))</f>
        <v/>
      </c>
      <c r="G502" s="11"/>
      <c r="I502" s="11"/>
      <c r="J502" s="11"/>
      <c r="K502" s="11"/>
      <c r="L502" s="11"/>
      <c r="M502" s="11"/>
      <c r="N502" s="11"/>
      <c r="O502" s="11"/>
      <c r="P502" s="11"/>
      <c r="Q502" s="11"/>
    </row>
    <row r="503" spans="1:17" x14ac:dyDescent="0.25">
      <c r="A503" s="8" t="str" cm="1">
        <f t="array" aca="1" ref="A503" ca="1">IF(INDIRECT("'Student_Record 1'!A" &amp; ROW())="", "", INDIRECT("'Student_Record 1'!A" &amp; ROW()))</f>
        <v/>
      </c>
      <c r="B503" s="8" t="str" cm="1">
        <f t="array" aca="1" ref="B503" ca="1">IF(INDIRECT("'Student_Record 1'!C" &amp; ROW())="", "", INDIRECT("'Student_Record 1'!C" &amp; ROW()))</f>
        <v/>
      </c>
      <c r="C503" s="8" t="str" cm="1">
        <f t="array" aca="1" ref="C503" ca="1">IF(INDIRECT("'Student_Record 1'!E" &amp; ROW())="", "", INDIRECT("'Student_Record 1'!E" &amp; ROW()))</f>
        <v/>
      </c>
      <c r="D503" s="8" t="str" cm="1">
        <f t="array" aca="1" ref="D503" ca="1">IF(INDIRECT("'Student_Record 1'!G" &amp; ROW())="", "", INDIRECT("'Student_Record 1'!G" &amp; ROW()))</f>
        <v/>
      </c>
      <c r="E503" s="8" t="str" cm="1">
        <f t="array" aca="1" ref="E503" ca="1">IF(INDIRECT("'Student_Record 1'!I" &amp; ROW())="", "", INDIRECT("'Student_Record 1'!I" &amp; ROW()))</f>
        <v/>
      </c>
      <c r="F503" s="8" t="str" cm="1">
        <f t="array" aca="1" ref="F503" ca="1">IF(INDIRECT("'Student_Record 1'!O" &amp; ROW())="", "", INDIRECT("'Student_Record 1'!O" &amp; ROW()))</f>
        <v/>
      </c>
      <c r="G503" s="11"/>
      <c r="I503" s="11"/>
      <c r="J503" s="11"/>
      <c r="K503" s="11"/>
      <c r="L503" s="11"/>
      <c r="M503" s="11"/>
      <c r="N503" s="11"/>
      <c r="O503" s="11"/>
      <c r="P503" s="11"/>
      <c r="Q503" s="11"/>
    </row>
    <row r="504" spans="1:17" x14ac:dyDescent="0.25">
      <c r="A504" s="8" t="str" cm="1">
        <f t="array" aca="1" ref="A504" ca="1">IF(INDIRECT("'Student_Record 1'!A" &amp; ROW())="", "", INDIRECT("'Student_Record 1'!A" &amp; ROW()))</f>
        <v/>
      </c>
      <c r="B504" s="8" t="str" cm="1">
        <f t="array" aca="1" ref="B504" ca="1">IF(INDIRECT("'Student_Record 1'!C" &amp; ROW())="", "", INDIRECT("'Student_Record 1'!C" &amp; ROW()))</f>
        <v/>
      </c>
      <c r="C504" s="8" t="str" cm="1">
        <f t="array" aca="1" ref="C504" ca="1">IF(INDIRECT("'Student_Record 1'!E" &amp; ROW())="", "", INDIRECT("'Student_Record 1'!E" &amp; ROW()))</f>
        <v/>
      </c>
      <c r="D504" s="8" t="str" cm="1">
        <f t="array" aca="1" ref="D504" ca="1">IF(INDIRECT("'Student_Record 1'!G" &amp; ROW())="", "", INDIRECT("'Student_Record 1'!G" &amp; ROW()))</f>
        <v/>
      </c>
      <c r="E504" s="8" t="str" cm="1">
        <f t="array" aca="1" ref="E504" ca="1">IF(INDIRECT("'Student_Record 1'!I" &amp; ROW())="", "", INDIRECT("'Student_Record 1'!I" &amp; ROW()))</f>
        <v/>
      </c>
      <c r="F504" s="8" t="str" cm="1">
        <f t="array" aca="1" ref="F504" ca="1">IF(INDIRECT("'Student_Record 1'!O" &amp; ROW())="", "", INDIRECT("'Student_Record 1'!O" &amp; ROW()))</f>
        <v/>
      </c>
      <c r="G504" s="11"/>
      <c r="I504" s="11"/>
      <c r="J504" s="11"/>
      <c r="K504" s="11"/>
      <c r="L504" s="11"/>
      <c r="M504" s="11"/>
      <c r="N504" s="11"/>
      <c r="O504" s="11"/>
      <c r="P504" s="11"/>
      <c r="Q504" s="11"/>
    </row>
    <row r="505" spans="1:17" x14ac:dyDescent="0.25">
      <c r="A505" s="8" t="str" cm="1">
        <f t="array" aca="1" ref="A505" ca="1">IF(INDIRECT("'Student_Record 1'!A" &amp; ROW())="", "", INDIRECT("'Student_Record 1'!A" &amp; ROW()))</f>
        <v/>
      </c>
      <c r="B505" s="8" t="str" cm="1">
        <f t="array" aca="1" ref="B505" ca="1">IF(INDIRECT("'Student_Record 1'!C" &amp; ROW())="", "", INDIRECT("'Student_Record 1'!C" &amp; ROW()))</f>
        <v/>
      </c>
      <c r="C505" s="8" t="str" cm="1">
        <f t="array" aca="1" ref="C505" ca="1">IF(INDIRECT("'Student_Record 1'!E" &amp; ROW())="", "", INDIRECT("'Student_Record 1'!E" &amp; ROW()))</f>
        <v/>
      </c>
      <c r="D505" s="8" t="str" cm="1">
        <f t="array" aca="1" ref="D505" ca="1">IF(INDIRECT("'Student_Record 1'!G" &amp; ROW())="", "", INDIRECT("'Student_Record 1'!G" &amp; ROW()))</f>
        <v/>
      </c>
      <c r="E505" s="8" t="str" cm="1">
        <f t="array" aca="1" ref="E505" ca="1">IF(INDIRECT("'Student_Record 1'!I" &amp; ROW())="", "", INDIRECT("'Student_Record 1'!I" &amp; ROW()))</f>
        <v/>
      </c>
      <c r="F505" s="8" t="str" cm="1">
        <f t="array" aca="1" ref="F505" ca="1">IF(INDIRECT("'Student_Record 1'!O" &amp; ROW())="", "", INDIRECT("'Student_Record 1'!O" &amp; ROW()))</f>
        <v/>
      </c>
      <c r="G505" s="11"/>
      <c r="I505" s="11"/>
      <c r="J505" s="11"/>
      <c r="K505" s="11"/>
      <c r="L505" s="11"/>
      <c r="M505" s="11"/>
      <c r="N505" s="11"/>
      <c r="O505" s="11"/>
      <c r="P505" s="11"/>
      <c r="Q505" s="11"/>
    </row>
    <row r="506" spans="1:17" x14ac:dyDescent="0.25">
      <c r="A506" s="8" t="str" cm="1">
        <f t="array" aca="1" ref="A506" ca="1">IF(INDIRECT("'Student_Record 1'!A" &amp; ROW())="", "", INDIRECT("'Student_Record 1'!A" &amp; ROW()))</f>
        <v/>
      </c>
      <c r="B506" s="8" t="str" cm="1">
        <f t="array" aca="1" ref="B506" ca="1">IF(INDIRECT("'Student_Record 1'!C" &amp; ROW())="", "", INDIRECT("'Student_Record 1'!C" &amp; ROW()))</f>
        <v/>
      </c>
      <c r="C506" s="8" t="str" cm="1">
        <f t="array" aca="1" ref="C506" ca="1">IF(INDIRECT("'Student_Record 1'!E" &amp; ROW())="", "", INDIRECT("'Student_Record 1'!E" &amp; ROW()))</f>
        <v/>
      </c>
      <c r="D506" s="8" t="str" cm="1">
        <f t="array" aca="1" ref="D506" ca="1">IF(INDIRECT("'Student_Record 1'!G" &amp; ROW())="", "", INDIRECT("'Student_Record 1'!G" &amp; ROW()))</f>
        <v/>
      </c>
      <c r="E506" s="8" t="str" cm="1">
        <f t="array" aca="1" ref="E506" ca="1">IF(INDIRECT("'Student_Record 1'!I" &amp; ROW())="", "", INDIRECT("'Student_Record 1'!I" &amp; ROW()))</f>
        <v/>
      </c>
      <c r="F506" s="8" t="str" cm="1">
        <f t="array" aca="1" ref="F506" ca="1">IF(INDIRECT("'Student_Record 1'!O" &amp; ROW())="", "", INDIRECT("'Student_Record 1'!O" &amp; ROW()))</f>
        <v/>
      </c>
      <c r="G506" s="11"/>
      <c r="I506" s="11"/>
      <c r="J506" s="11"/>
      <c r="K506" s="11"/>
      <c r="L506" s="11"/>
      <c r="M506" s="11"/>
      <c r="N506" s="11"/>
      <c r="O506" s="11"/>
      <c r="P506" s="11"/>
      <c r="Q506" s="11"/>
    </row>
    <row r="507" spans="1:17" x14ac:dyDescent="0.25">
      <c r="A507" s="8" t="str" cm="1">
        <f t="array" aca="1" ref="A507" ca="1">IF(INDIRECT("'Student_Record 1'!A" &amp; ROW())="", "", INDIRECT("'Student_Record 1'!A" &amp; ROW()))</f>
        <v/>
      </c>
      <c r="B507" s="8" t="str" cm="1">
        <f t="array" aca="1" ref="B507" ca="1">IF(INDIRECT("'Student_Record 1'!C" &amp; ROW())="", "", INDIRECT("'Student_Record 1'!C" &amp; ROW()))</f>
        <v/>
      </c>
      <c r="C507" s="8" t="str" cm="1">
        <f t="array" aca="1" ref="C507" ca="1">IF(INDIRECT("'Student_Record 1'!E" &amp; ROW())="", "", INDIRECT("'Student_Record 1'!E" &amp; ROW()))</f>
        <v/>
      </c>
      <c r="D507" s="8" t="str" cm="1">
        <f t="array" aca="1" ref="D507" ca="1">IF(INDIRECT("'Student_Record 1'!G" &amp; ROW())="", "", INDIRECT("'Student_Record 1'!G" &amp; ROW()))</f>
        <v/>
      </c>
      <c r="E507" s="8" t="str" cm="1">
        <f t="array" aca="1" ref="E507" ca="1">IF(INDIRECT("'Student_Record 1'!I" &amp; ROW())="", "", INDIRECT("'Student_Record 1'!I" &amp; ROW()))</f>
        <v/>
      </c>
      <c r="F507" s="8" t="str" cm="1">
        <f t="array" aca="1" ref="F507" ca="1">IF(INDIRECT("'Student_Record 1'!O" &amp; ROW())="", "", INDIRECT("'Student_Record 1'!O" &amp; ROW()))</f>
        <v/>
      </c>
      <c r="G507" s="11"/>
      <c r="I507" s="11"/>
      <c r="J507" s="11"/>
      <c r="K507" s="11"/>
      <c r="L507" s="11"/>
      <c r="M507" s="11"/>
      <c r="N507" s="11"/>
      <c r="O507" s="11"/>
      <c r="P507" s="11"/>
      <c r="Q507" s="11"/>
    </row>
    <row r="508" spans="1:17" x14ac:dyDescent="0.25">
      <c r="A508" s="8" t="str" cm="1">
        <f t="array" aca="1" ref="A508" ca="1">IF(INDIRECT("'Student_Record 1'!A" &amp; ROW())="", "", INDIRECT("'Student_Record 1'!A" &amp; ROW()))</f>
        <v/>
      </c>
      <c r="B508" s="8" t="str" cm="1">
        <f t="array" aca="1" ref="B508" ca="1">IF(INDIRECT("'Student_Record 1'!C" &amp; ROW())="", "", INDIRECT("'Student_Record 1'!C" &amp; ROW()))</f>
        <v/>
      </c>
      <c r="C508" s="8" t="str" cm="1">
        <f t="array" aca="1" ref="C508" ca="1">IF(INDIRECT("'Student_Record 1'!E" &amp; ROW())="", "", INDIRECT("'Student_Record 1'!E" &amp; ROW()))</f>
        <v/>
      </c>
      <c r="D508" s="8" t="str" cm="1">
        <f t="array" aca="1" ref="D508" ca="1">IF(INDIRECT("'Student_Record 1'!G" &amp; ROW())="", "", INDIRECT("'Student_Record 1'!G" &amp; ROW()))</f>
        <v/>
      </c>
      <c r="E508" s="8" t="str" cm="1">
        <f t="array" aca="1" ref="E508" ca="1">IF(INDIRECT("'Student_Record 1'!I" &amp; ROW())="", "", INDIRECT("'Student_Record 1'!I" &amp; ROW()))</f>
        <v/>
      </c>
      <c r="F508" s="8" t="str" cm="1">
        <f t="array" aca="1" ref="F508" ca="1">IF(INDIRECT("'Student_Record 1'!O" &amp; ROW())="", "", INDIRECT("'Student_Record 1'!O" &amp; ROW()))</f>
        <v/>
      </c>
      <c r="G508" s="11"/>
      <c r="I508" s="11"/>
      <c r="J508" s="11"/>
      <c r="K508" s="11"/>
      <c r="L508" s="11"/>
      <c r="M508" s="11"/>
      <c r="N508" s="11"/>
      <c r="O508" s="11"/>
      <c r="P508" s="11"/>
      <c r="Q508" s="11"/>
    </row>
    <row r="509" spans="1:17" x14ac:dyDescent="0.25">
      <c r="A509" s="8" t="str" cm="1">
        <f t="array" aca="1" ref="A509" ca="1">IF(INDIRECT("'Student_Record 1'!A" &amp; ROW())="", "", INDIRECT("'Student_Record 1'!A" &amp; ROW()))</f>
        <v/>
      </c>
      <c r="B509" s="8" t="str" cm="1">
        <f t="array" aca="1" ref="B509" ca="1">IF(INDIRECT("'Student_Record 1'!C" &amp; ROW())="", "", INDIRECT("'Student_Record 1'!C" &amp; ROW()))</f>
        <v/>
      </c>
      <c r="C509" s="8" t="str" cm="1">
        <f t="array" aca="1" ref="C509" ca="1">IF(INDIRECT("'Student_Record 1'!E" &amp; ROW())="", "", INDIRECT("'Student_Record 1'!E" &amp; ROW()))</f>
        <v/>
      </c>
      <c r="D509" s="8" t="str" cm="1">
        <f t="array" aca="1" ref="D509" ca="1">IF(INDIRECT("'Student_Record 1'!G" &amp; ROW())="", "", INDIRECT("'Student_Record 1'!G" &amp; ROW()))</f>
        <v/>
      </c>
      <c r="E509" s="8" t="str" cm="1">
        <f t="array" aca="1" ref="E509" ca="1">IF(INDIRECT("'Student_Record 1'!I" &amp; ROW())="", "", INDIRECT("'Student_Record 1'!I" &amp; ROW()))</f>
        <v/>
      </c>
      <c r="F509" s="8" t="str" cm="1">
        <f t="array" aca="1" ref="F509" ca="1">IF(INDIRECT("'Student_Record 1'!O" &amp; ROW())="", "", INDIRECT("'Student_Record 1'!O" &amp; ROW()))</f>
        <v/>
      </c>
      <c r="G509" s="11"/>
      <c r="I509" s="11"/>
      <c r="J509" s="11"/>
      <c r="K509" s="11"/>
      <c r="L509" s="11"/>
      <c r="M509" s="11"/>
      <c r="N509" s="11"/>
      <c r="O509" s="11"/>
      <c r="P509" s="11"/>
      <c r="Q509" s="11"/>
    </row>
    <row r="510" spans="1:17" x14ac:dyDescent="0.25">
      <c r="A510" s="8" t="str" cm="1">
        <f t="array" aca="1" ref="A510" ca="1">IF(INDIRECT("'Student_Record 1'!A" &amp; ROW())="", "", INDIRECT("'Student_Record 1'!A" &amp; ROW()))</f>
        <v/>
      </c>
      <c r="B510" s="8" t="str" cm="1">
        <f t="array" aca="1" ref="B510" ca="1">IF(INDIRECT("'Student_Record 1'!C" &amp; ROW())="", "", INDIRECT("'Student_Record 1'!C" &amp; ROW()))</f>
        <v/>
      </c>
      <c r="C510" s="8" t="str" cm="1">
        <f t="array" aca="1" ref="C510" ca="1">IF(INDIRECT("'Student_Record 1'!E" &amp; ROW())="", "", INDIRECT("'Student_Record 1'!E" &amp; ROW()))</f>
        <v/>
      </c>
      <c r="D510" s="8" t="str" cm="1">
        <f t="array" aca="1" ref="D510" ca="1">IF(INDIRECT("'Student_Record 1'!G" &amp; ROW())="", "", INDIRECT("'Student_Record 1'!G" &amp; ROW()))</f>
        <v/>
      </c>
      <c r="E510" s="8" t="str" cm="1">
        <f t="array" aca="1" ref="E510" ca="1">IF(INDIRECT("'Student_Record 1'!I" &amp; ROW())="", "", INDIRECT("'Student_Record 1'!I" &amp; ROW()))</f>
        <v/>
      </c>
      <c r="F510" s="8" t="str" cm="1">
        <f t="array" aca="1" ref="F510" ca="1">IF(INDIRECT("'Student_Record 1'!O" &amp; ROW())="", "", INDIRECT("'Student_Record 1'!O" &amp; ROW()))</f>
        <v/>
      </c>
      <c r="G510" s="11"/>
      <c r="I510" s="11"/>
      <c r="J510" s="11"/>
      <c r="K510" s="11"/>
      <c r="L510" s="11"/>
      <c r="M510" s="11"/>
      <c r="N510" s="11"/>
      <c r="O510" s="11"/>
      <c r="P510" s="11"/>
      <c r="Q510" s="11"/>
    </row>
    <row r="511" spans="1:17" x14ac:dyDescent="0.25">
      <c r="A511" s="8" t="str" cm="1">
        <f t="array" aca="1" ref="A511" ca="1">IF(INDIRECT("'Student_Record 1'!A" &amp; ROW())="", "", INDIRECT("'Student_Record 1'!A" &amp; ROW()))</f>
        <v/>
      </c>
      <c r="B511" s="8" t="str" cm="1">
        <f t="array" aca="1" ref="B511" ca="1">IF(INDIRECT("'Student_Record 1'!C" &amp; ROW())="", "", INDIRECT("'Student_Record 1'!C" &amp; ROW()))</f>
        <v/>
      </c>
      <c r="C511" s="8" t="str" cm="1">
        <f t="array" aca="1" ref="C511" ca="1">IF(INDIRECT("'Student_Record 1'!E" &amp; ROW())="", "", INDIRECT("'Student_Record 1'!E" &amp; ROW()))</f>
        <v/>
      </c>
      <c r="D511" s="8" t="str" cm="1">
        <f t="array" aca="1" ref="D511" ca="1">IF(INDIRECT("'Student_Record 1'!G" &amp; ROW())="", "", INDIRECT("'Student_Record 1'!G" &amp; ROW()))</f>
        <v/>
      </c>
      <c r="E511" s="8" t="str" cm="1">
        <f t="array" aca="1" ref="E511" ca="1">IF(INDIRECT("'Student_Record 1'!I" &amp; ROW())="", "", INDIRECT("'Student_Record 1'!I" &amp; ROW()))</f>
        <v/>
      </c>
      <c r="F511" s="8" t="str" cm="1">
        <f t="array" aca="1" ref="F511" ca="1">IF(INDIRECT("'Student_Record 1'!O" &amp; ROW())="", "", INDIRECT("'Student_Record 1'!O" &amp; ROW()))</f>
        <v/>
      </c>
      <c r="G511" s="11"/>
      <c r="I511" s="11"/>
      <c r="J511" s="11"/>
      <c r="K511" s="11"/>
      <c r="L511" s="11"/>
      <c r="M511" s="11"/>
      <c r="N511" s="11"/>
      <c r="O511" s="11"/>
      <c r="P511" s="11"/>
      <c r="Q511" s="11"/>
    </row>
    <row r="512" spans="1:17" x14ac:dyDescent="0.25">
      <c r="A512" s="8" t="str" cm="1">
        <f t="array" aca="1" ref="A512" ca="1">IF(INDIRECT("'Student_Record 1'!A" &amp; ROW())="", "", INDIRECT("'Student_Record 1'!A" &amp; ROW()))</f>
        <v/>
      </c>
      <c r="B512" s="8" t="str" cm="1">
        <f t="array" aca="1" ref="B512" ca="1">IF(INDIRECT("'Student_Record 1'!C" &amp; ROW())="", "", INDIRECT("'Student_Record 1'!C" &amp; ROW()))</f>
        <v/>
      </c>
      <c r="C512" s="8" t="str" cm="1">
        <f t="array" aca="1" ref="C512" ca="1">IF(INDIRECT("'Student_Record 1'!E" &amp; ROW())="", "", INDIRECT("'Student_Record 1'!E" &amp; ROW()))</f>
        <v/>
      </c>
      <c r="D512" s="8" t="str" cm="1">
        <f t="array" aca="1" ref="D512" ca="1">IF(INDIRECT("'Student_Record 1'!G" &amp; ROW())="", "", INDIRECT("'Student_Record 1'!G" &amp; ROW()))</f>
        <v/>
      </c>
      <c r="E512" s="8" t="str" cm="1">
        <f t="array" aca="1" ref="E512" ca="1">IF(INDIRECT("'Student_Record 1'!I" &amp; ROW())="", "", INDIRECT("'Student_Record 1'!I" &amp; ROW()))</f>
        <v/>
      </c>
      <c r="F512" s="8" t="str" cm="1">
        <f t="array" aca="1" ref="F512" ca="1">IF(INDIRECT("'Student_Record 1'!O" &amp; ROW())="", "", INDIRECT("'Student_Record 1'!O" &amp; ROW()))</f>
        <v/>
      </c>
      <c r="G512" s="11"/>
      <c r="I512" s="11"/>
      <c r="J512" s="11"/>
      <c r="K512" s="11"/>
      <c r="L512" s="11"/>
      <c r="M512" s="11"/>
      <c r="N512" s="11"/>
      <c r="O512" s="11"/>
      <c r="P512" s="11"/>
      <c r="Q512" s="11"/>
    </row>
    <row r="513" spans="1:17" x14ac:dyDescent="0.25">
      <c r="A513" s="8" t="str" cm="1">
        <f t="array" aca="1" ref="A513" ca="1">IF(INDIRECT("'Student_Record 1'!A" &amp; ROW())="", "", INDIRECT("'Student_Record 1'!A" &amp; ROW()))</f>
        <v/>
      </c>
      <c r="B513" s="8" t="str" cm="1">
        <f t="array" aca="1" ref="B513" ca="1">IF(INDIRECT("'Student_Record 1'!C" &amp; ROW())="", "", INDIRECT("'Student_Record 1'!C" &amp; ROW()))</f>
        <v/>
      </c>
      <c r="C513" s="8" t="str" cm="1">
        <f t="array" aca="1" ref="C513" ca="1">IF(INDIRECT("'Student_Record 1'!E" &amp; ROW())="", "", INDIRECT("'Student_Record 1'!E" &amp; ROW()))</f>
        <v/>
      </c>
      <c r="D513" s="8" t="str" cm="1">
        <f t="array" aca="1" ref="D513" ca="1">IF(INDIRECT("'Student_Record 1'!G" &amp; ROW())="", "", INDIRECT("'Student_Record 1'!G" &amp; ROW()))</f>
        <v/>
      </c>
      <c r="E513" s="8" t="str" cm="1">
        <f t="array" aca="1" ref="E513" ca="1">IF(INDIRECT("'Student_Record 1'!I" &amp; ROW())="", "", INDIRECT("'Student_Record 1'!I" &amp; ROW()))</f>
        <v/>
      </c>
      <c r="F513" s="8" t="str" cm="1">
        <f t="array" aca="1" ref="F513" ca="1">IF(INDIRECT("'Student_Record 1'!O" &amp; ROW())="", "", INDIRECT("'Student_Record 1'!O" &amp; ROW()))</f>
        <v/>
      </c>
      <c r="G513" s="11"/>
      <c r="I513" s="11"/>
      <c r="J513" s="11"/>
      <c r="K513" s="11"/>
      <c r="L513" s="11"/>
      <c r="M513" s="11"/>
      <c r="N513" s="11"/>
      <c r="O513" s="11"/>
      <c r="P513" s="11"/>
      <c r="Q513" s="11"/>
    </row>
    <row r="514" spans="1:17" x14ac:dyDescent="0.25">
      <c r="A514" s="8" t="str" cm="1">
        <f t="array" aca="1" ref="A514" ca="1">IF(INDIRECT("'Student_Record 1'!A" &amp; ROW())="", "", INDIRECT("'Student_Record 1'!A" &amp; ROW()))</f>
        <v/>
      </c>
      <c r="B514" s="8" t="str" cm="1">
        <f t="array" aca="1" ref="B514" ca="1">IF(INDIRECT("'Student_Record 1'!C" &amp; ROW())="", "", INDIRECT("'Student_Record 1'!C" &amp; ROW()))</f>
        <v/>
      </c>
      <c r="C514" s="8" t="str" cm="1">
        <f t="array" aca="1" ref="C514" ca="1">IF(INDIRECT("'Student_Record 1'!E" &amp; ROW())="", "", INDIRECT("'Student_Record 1'!E" &amp; ROW()))</f>
        <v/>
      </c>
      <c r="D514" s="8" t="str" cm="1">
        <f t="array" aca="1" ref="D514" ca="1">IF(INDIRECT("'Student_Record 1'!G" &amp; ROW())="", "", INDIRECT("'Student_Record 1'!G" &amp; ROW()))</f>
        <v/>
      </c>
      <c r="E514" s="8" t="str" cm="1">
        <f t="array" aca="1" ref="E514" ca="1">IF(INDIRECT("'Student_Record 1'!I" &amp; ROW())="", "", INDIRECT("'Student_Record 1'!I" &amp; ROW()))</f>
        <v/>
      </c>
      <c r="F514" s="8" t="str" cm="1">
        <f t="array" aca="1" ref="F514" ca="1">IF(INDIRECT("'Student_Record 1'!O" &amp; ROW())="", "", INDIRECT("'Student_Record 1'!O" &amp; ROW()))</f>
        <v/>
      </c>
      <c r="G514" s="11"/>
      <c r="I514" s="11"/>
      <c r="J514" s="11"/>
      <c r="K514" s="11"/>
      <c r="L514" s="11"/>
      <c r="M514" s="11"/>
      <c r="N514" s="11"/>
      <c r="O514" s="11"/>
      <c r="P514" s="11"/>
      <c r="Q514" s="11"/>
    </row>
    <row r="515" spans="1:17" x14ac:dyDescent="0.25">
      <c r="A515" s="8" t="str" cm="1">
        <f t="array" aca="1" ref="A515" ca="1">IF(INDIRECT("'Student_Record 1'!A" &amp; ROW())="", "", INDIRECT("'Student_Record 1'!A" &amp; ROW()))</f>
        <v/>
      </c>
      <c r="B515" s="8" t="str" cm="1">
        <f t="array" aca="1" ref="B515" ca="1">IF(INDIRECT("'Student_Record 1'!C" &amp; ROW())="", "", INDIRECT("'Student_Record 1'!C" &amp; ROW()))</f>
        <v/>
      </c>
      <c r="C515" s="8" t="str" cm="1">
        <f t="array" aca="1" ref="C515" ca="1">IF(INDIRECT("'Student_Record 1'!E" &amp; ROW())="", "", INDIRECT("'Student_Record 1'!E" &amp; ROW()))</f>
        <v/>
      </c>
      <c r="D515" s="8" t="str" cm="1">
        <f t="array" aca="1" ref="D515" ca="1">IF(INDIRECT("'Student_Record 1'!G" &amp; ROW())="", "", INDIRECT("'Student_Record 1'!G" &amp; ROW()))</f>
        <v/>
      </c>
      <c r="E515" s="8" t="str" cm="1">
        <f t="array" aca="1" ref="E515" ca="1">IF(INDIRECT("'Student_Record 1'!I" &amp; ROW())="", "", INDIRECT("'Student_Record 1'!I" &amp; ROW()))</f>
        <v/>
      </c>
      <c r="F515" s="8" t="str" cm="1">
        <f t="array" aca="1" ref="F515" ca="1">IF(INDIRECT("'Student_Record 1'!O" &amp; ROW())="", "", INDIRECT("'Student_Record 1'!O" &amp; ROW()))</f>
        <v/>
      </c>
      <c r="G515" s="11"/>
      <c r="I515" s="11"/>
      <c r="J515" s="11"/>
      <c r="K515" s="11"/>
      <c r="L515" s="11"/>
      <c r="M515" s="11"/>
      <c r="N515" s="11"/>
      <c r="O515" s="11"/>
      <c r="P515" s="11"/>
      <c r="Q515" s="11"/>
    </row>
    <row r="516" spans="1:17" x14ac:dyDescent="0.25">
      <c r="A516" s="8" t="str" cm="1">
        <f t="array" aca="1" ref="A516" ca="1">IF(INDIRECT("'Student_Record 1'!A" &amp; ROW())="", "", INDIRECT("'Student_Record 1'!A" &amp; ROW()))</f>
        <v/>
      </c>
      <c r="B516" s="8" t="str" cm="1">
        <f t="array" aca="1" ref="B516" ca="1">IF(INDIRECT("'Student_Record 1'!C" &amp; ROW())="", "", INDIRECT("'Student_Record 1'!C" &amp; ROW()))</f>
        <v/>
      </c>
      <c r="C516" s="8" t="str" cm="1">
        <f t="array" aca="1" ref="C516" ca="1">IF(INDIRECT("'Student_Record 1'!E" &amp; ROW())="", "", INDIRECT("'Student_Record 1'!E" &amp; ROW()))</f>
        <v/>
      </c>
      <c r="D516" s="8" t="str" cm="1">
        <f t="array" aca="1" ref="D516" ca="1">IF(INDIRECT("'Student_Record 1'!G" &amp; ROW())="", "", INDIRECT("'Student_Record 1'!G" &amp; ROW()))</f>
        <v/>
      </c>
      <c r="E516" s="8" t="str" cm="1">
        <f t="array" aca="1" ref="E516" ca="1">IF(INDIRECT("'Student_Record 1'!I" &amp; ROW())="", "", INDIRECT("'Student_Record 1'!I" &amp; ROW()))</f>
        <v/>
      </c>
      <c r="F516" s="8" t="str" cm="1">
        <f t="array" aca="1" ref="F516" ca="1">IF(INDIRECT("'Student_Record 1'!O" &amp; ROW())="", "", INDIRECT("'Student_Record 1'!O" &amp; ROW()))</f>
        <v/>
      </c>
      <c r="G516" s="11"/>
      <c r="I516" s="11"/>
      <c r="J516" s="11"/>
      <c r="K516" s="11"/>
      <c r="L516" s="11"/>
      <c r="M516" s="11"/>
      <c r="N516" s="11"/>
      <c r="O516" s="11"/>
      <c r="P516" s="11"/>
      <c r="Q516" s="11"/>
    </row>
    <row r="517" spans="1:17" x14ac:dyDescent="0.25">
      <c r="A517" s="8" t="str" cm="1">
        <f t="array" aca="1" ref="A517" ca="1">IF(INDIRECT("'Student_Record 1'!A" &amp; ROW())="", "", INDIRECT("'Student_Record 1'!A" &amp; ROW()))</f>
        <v/>
      </c>
      <c r="B517" s="8" t="str" cm="1">
        <f t="array" aca="1" ref="B517" ca="1">IF(INDIRECT("'Student_Record 1'!C" &amp; ROW())="", "", INDIRECT("'Student_Record 1'!C" &amp; ROW()))</f>
        <v/>
      </c>
      <c r="C517" s="8" t="str" cm="1">
        <f t="array" aca="1" ref="C517" ca="1">IF(INDIRECT("'Student_Record 1'!E" &amp; ROW())="", "", INDIRECT("'Student_Record 1'!E" &amp; ROW()))</f>
        <v/>
      </c>
      <c r="D517" s="8" t="str" cm="1">
        <f t="array" aca="1" ref="D517" ca="1">IF(INDIRECT("'Student_Record 1'!G" &amp; ROW())="", "", INDIRECT("'Student_Record 1'!G" &amp; ROW()))</f>
        <v/>
      </c>
      <c r="E517" s="8" t="str" cm="1">
        <f t="array" aca="1" ref="E517" ca="1">IF(INDIRECT("'Student_Record 1'!I" &amp; ROW())="", "", INDIRECT("'Student_Record 1'!I" &amp; ROW()))</f>
        <v/>
      </c>
      <c r="F517" s="8" t="str" cm="1">
        <f t="array" aca="1" ref="F517" ca="1">IF(INDIRECT("'Student_Record 1'!O" &amp; ROW())="", "", INDIRECT("'Student_Record 1'!O" &amp; ROW()))</f>
        <v/>
      </c>
      <c r="G517" s="11"/>
      <c r="I517" s="11"/>
      <c r="J517" s="11"/>
      <c r="K517" s="11"/>
      <c r="L517" s="11"/>
      <c r="M517" s="11"/>
      <c r="N517" s="11"/>
      <c r="O517" s="11"/>
      <c r="P517" s="11"/>
      <c r="Q517" s="11"/>
    </row>
    <row r="518" spans="1:17" x14ac:dyDescent="0.25">
      <c r="A518" s="8" t="str" cm="1">
        <f t="array" aca="1" ref="A518" ca="1">IF(INDIRECT("'Student_Record 1'!A" &amp; ROW())="", "", INDIRECT("'Student_Record 1'!A" &amp; ROW()))</f>
        <v/>
      </c>
      <c r="B518" s="8" t="str" cm="1">
        <f t="array" aca="1" ref="B518" ca="1">IF(INDIRECT("'Student_Record 1'!C" &amp; ROW())="", "", INDIRECT("'Student_Record 1'!C" &amp; ROW()))</f>
        <v/>
      </c>
      <c r="C518" s="8" t="str" cm="1">
        <f t="array" aca="1" ref="C518" ca="1">IF(INDIRECT("'Student_Record 1'!E" &amp; ROW())="", "", INDIRECT("'Student_Record 1'!E" &amp; ROW()))</f>
        <v/>
      </c>
      <c r="D518" s="8" t="str" cm="1">
        <f t="array" aca="1" ref="D518" ca="1">IF(INDIRECT("'Student_Record 1'!G" &amp; ROW())="", "", INDIRECT("'Student_Record 1'!G" &amp; ROW()))</f>
        <v/>
      </c>
      <c r="E518" s="8" t="str" cm="1">
        <f t="array" aca="1" ref="E518" ca="1">IF(INDIRECT("'Student_Record 1'!I" &amp; ROW())="", "", INDIRECT("'Student_Record 1'!I" &amp; ROW()))</f>
        <v/>
      </c>
      <c r="F518" s="8" t="str" cm="1">
        <f t="array" aca="1" ref="F518" ca="1">IF(INDIRECT("'Student_Record 1'!O" &amp; ROW())="", "", INDIRECT("'Student_Record 1'!O" &amp; ROW()))</f>
        <v/>
      </c>
      <c r="G518" s="11"/>
      <c r="I518" s="11"/>
      <c r="J518" s="11"/>
      <c r="K518" s="11"/>
      <c r="L518" s="11"/>
      <c r="M518" s="11"/>
      <c r="N518" s="11"/>
      <c r="O518" s="11"/>
      <c r="P518" s="11"/>
      <c r="Q518" s="11"/>
    </row>
    <row r="519" spans="1:17" x14ac:dyDescent="0.25">
      <c r="A519" s="8" t="str" cm="1">
        <f t="array" aca="1" ref="A519" ca="1">IF(INDIRECT("'Student_Record 1'!A" &amp; ROW())="", "", INDIRECT("'Student_Record 1'!A" &amp; ROW()))</f>
        <v/>
      </c>
      <c r="B519" s="8" t="str" cm="1">
        <f t="array" aca="1" ref="B519" ca="1">IF(INDIRECT("'Student_Record 1'!C" &amp; ROW())="", "", INDIRECT("'Student_Record 1'!C" &amp; ROW()))</f>
        <v/>
      </c>
      <c r="C519" s="8" t="str" cm="1">
        <f t="array" aca="1" ref="C519" ca="1">IF(INDIRECT("'Student_Record 1'!E" &amp; ROW())="", "", INDIRECT("'Student_Record 1'!E" &amp; ROW()))</f>
        <v/>
      </c>
      <c r="D519" s="8" t="str" cm="1">
        <f t="array" aca="1" ref="D519" ca="1">IF(INDIRECT("'Student_Record 1'!G" &amp; ROW())="", "", INDIRECT("'Student_Record 1'!G" &amp; ROW()))</f>
        <v/>
      </c>
      <c r="E519" s="8" t="str" cm="1">
        <f t="array" aca="1" ref="E519" ca="1">IF(INDIRECT("'Student_Record 1'!I" &amp; ROW())="", "", INDIRECT("'Student_Record 1'!I" &amp; ROW()))</f>
        <v/>
      </c>
      <c r="F519" s="8" t="str" cm="1">
        <f t="array" aca="1" ref="F519" ca="1">IF(INDIRECT("'Student_Record 1'!O" &amp; ROW())="", "", INDIRECT("'Student_Record 1'!O" &amp; ROW()))</f>
        <v/>
      </c>
      <c r="G519" s="11"/>
      <c r="I519" s="11"/>
      <c r="J519" s="11"/>
      <c r="K519" s="11"/>
      <c r="L519" s="11"/>
      <c r="M519" s="11"/>
      <c r="N519" s="11"/>
      <c r="O519" s="11"/>
      <c r="P519" s="11"/>
      <c r="Q519" s="11"/>
    </row>
    <row r="520" spans="1:17" x14ac:dyDescent="0.25">
      <c r="A520" s="8" t="str" cm="1">
        <f t="array" aca="1" ref="A520" ca="1">IF(INDIRECT("'Student_Record 1'!A" &amp; ROW())="", "", INDIRECT("'Student_Record 1'!A" &amp; ROW()))</f>
        <v/>
      </c>
      <c r="B520" s="8" t="str" cm="1">
        <f t="array" aca="1" ref="B520" ca="1">IF(INDIRECT("'Student_Record 1'!C" &amp; ROW())="", "", INDIRECT("'Student_Record 1'!C" &amp; ROW()))</f>
        <v/>
      </c>
      <c r="C520" s="8" t="str" cm="1">
        <f t="array" aca="1" ref="C520" ca="1">IF(INDIRECT("'Student_Record 1'!E" &amp; ROW())="", "", INDIRECT("'Student_Record 1'!E" &amp; ROW()))</f>
        <v/>
      </c>
      <c r="D520" s="8" t="str" cm="1">
        <f t="array" aca="1" ref="D520" ca="1">IF(INDIRECT("'Student_Record 1'!G" &amp; ROW())="", "", INDIRECT("'Student_Record 1'!G" &amp; ROW()))</f>
        <v/>
      </c>
      <c r="E520" s="8" t="str" cm="1">
        <f t="array" aca="1" ref="E520" ca="1">IF(INDIRECT("'Student_Record 1'!I" &amp; ROW())="", "", INDIRECT("'Student_Record 1'!I" &amp; ROW()))</f>
        <v/>
      </c>
      <c r="F520" s="8" t="str" cm="1">
        <f t="array" aca="1" ref="F520" ca="1">IF(INDIRECT("'Student_Record 1'!O" &amp; ROW())="", "", INDIRECT("'Student_Record 1'!O" &amp; ROW()))</f>
        <v/>
      </c>
      <c r="G520" s="11"/>
      <c r="I520" s="11"/>
      <c r="J520" s="11"/>
      <c r="K520" s="11"/>
      <c r="L520" s="11"/>
      <c r="M520" s="11"/>
      <c r="N520" s="11"/>
      <c r="O520" s="11"/>
      <c r="P520" s="11"/>
      <c r="Q520" s="11"/>
    </row>
    <row r="521" spans="1:17" x14ac:dyDescent="0.25">
      <c r="A521" s="8" t="str" cm="1">
        <f t="array" aca="1" ref="A521" ca="1">IF(INDIRECT("'Student_Record 1'!A" &amp; ROW())="", "", INDIRECT("'Student_Record 1'!A" &amp; ROW()))</f>
        <v/>
      </c>
      <c r="B521" s="8" t="str" cm="1">
        <f t="array" aca="1" ref="B521" ca="1">IF(INDIRECT("'Student_Record 1'!C" &amp; ROW())="", "", INDIRECT("'Student_Record 1'!C" &amp; ROW()))</f>
        <v/>
      </c>
      <c r="C521" s="8" t="str" cm="1">
        <f t="array" aca="1" ref="C521" ca="1">IF(INDIRECT("'Student_Record 1'!E" &amp; ROW())="", "", INDIRECT("'Student_Record 1'!E" &amp; ROW()))</f>
        <v/>
      </c>
      <c r="D521" s="8" t="str" cm="1">
        <f t="array" aca="1" ref="D521" ca="1">IF(INDIRECT("'Student_Record 1'!G" &amp; ROW())="", "", INDIRECT("'Student_Record 1'!G" &amp; ROW()))</f>
        <v/>
      </c>
      <c r="E521" s="8" t="str" cm="1">
        <f t="array" aca="1" ref="E521" ca="1">IF(INDIRECT("'Student_Record 1'!I" &amp; ROW())="", "", INDIRECT("'Student_Record 1'!I" &amp; ROW()))</f>
        <v/>
      </c>
      <c r="F521" s="8" t="str" cm="1">
        <f t="array" aca="1" ref="F521" ca="1">IF(INDIRECT("'Student_Record 1'!O" &amp; ROW())="", "", INDIRECT("'Student_Record 1'!O" &amp; ROW()))</f>
        <v/>
      </c>
      <c r="G521" s="11"/>
      <c r="I521" s="11"/>
      <c r="J521" s="11"/>
      <c r="K521" s="11"/>
      <c r="L521" s="11"/>
      <c r="M521" s="11"/>
      <c r="N521" s="11"/>
      <c r="O521" s="11"/>
      <c r="P521" s="11"/>
      <c r="Q521" s="11"/>
    </row>
    <row r="522" spans="1:17" x14ac:dyDescent="0.25">
      <c r="A522" s="8" t="str" cm="1">
        <f t="array" aca="1" ref="A522" ca="1">IF(INDIRECT("'Student_Record 1'!A" &amp; ROW())="", "", INDIRECT("'Student_Record 1'!A" &amp; ROW()))</f>
        <v/>
      </c>
      <c r="B522" s="8" t="str" cm="1">
        <f t="array" aca="1" ref="B522" ca="1">IF(INDIRECT("'Student_Record 1'!C" &amp; ROW())="", "", INDIRECT("'Student_Record 1'!C" &amp; ROW()))</f>
        <v/>
      </c>
      <c r="C522" s="8" t="str" cm="1">
        <f t="array" aca="1" ref="C522" ca="1">IF(INDIRECT("'Student_Record 1'!E" &amp; ROW())="", "", INDIRECT("'Student_Record 1'!E" &amp; ROW()))</f>
        <v/>
      </c>
      <c r="D522" s="8" t="str" cm="1">
        <f t="array" aca="1" ref="D522" ca="1">IF(INDIRECT("'Student_Record 1'!G" &amp; ROW())="", "", INDIRECT("'Student_Record 1'!G" &amp; ROW()))</f>
        <v/>
      </c>
      <c r="E522" s="8" t="str" cm="1">
        <f t="array" aca="1" ref="E522" ca="1">IF(INDIRECT("'Student_Record 1'!I" &amp; ROW())="", "", INDIRECT("'Student_Record 1'!I" &amp; ROW()))</f>
        <v/>
      </c>
      <c r="F522" s="8" t="str" cm="1">
        <f t="array" aca="1" ref="F522" ca="1">IF(INDIRECT("'Student_Record 1'!O" &amp; ROW())="", "", INDIRECT("'Student_Record 1'!O" &amp; ROW()))</f>
        <v/>
      </c>
      <c r="G522" s="11"/>
      <c r="I522" s="11"/>
      <c r="J522" s="11"/>
      <c r="K522" s="11"/>
      <c r="L522" s="11"/>
      <c r="M522" s="11"/>
      <c r="N522" s="11"/>
      <c r="O522" s="11"/>
      <c r="P522" s="11"/>
      <c r="Q522" s="11"/>
    </row>
    <row r="523" spans="1:17" x14ac:dyDescent="0.25">
      <c r="A523" s="8" t="str" cm="1">
        <f t="array" aca="1" ref="A523" ca="1">IF(INDIRECT("'Student_Record 1'!A" &amp; ROW())="", "", INDIRECT("'Student_Record 1'!A" &amp; ROW()))</f>
        <v/>
      </c>
      <c r="B523" s="8" t="str" cm="1">
        <f t="array" aca="1" ref="B523" ca="1">IF(INDIRECT("'Student_Record 1'!C" &amp; ROW())="", "", INDIRECT("'Student_Record 1'!C" &amp; ROW()))</f>
        <v/>
      </c>
      <c r="C523" s="8" t="str" cm="1">
        <f t="array" aca="1" ref="C523" ca="1">IF(INDIRECT("'Student_Record 1'!E" &amp; ROW())="", "", INDIRECT("'Student_Record 1'!E" &amp; ROW()))</f>
        <v/>
      </c>
      <c r="D523" s="8" t="str" cm="1">
        <f t="array" aca="1" ref="D523" ca="1">IF(INDIRECT("'Student_Record 1'!G" &amp; ROW())="", "", INDIRECT("'Student_Record 1'!G" &amp; ROW()))</f>
        <v/>
      </c>
      <c r="E523" s="8" t="str" cm="1">
        <f t="array" aca="1" ref="E523" ca="1">IF(INDIRECT("'Student_Record 1'!I" &amp; ROW())="", "", INDIRECT("'Student_Record 1'!I" &amp; ROW()))</f>
        <v/>
      </c>
      <c r="F523" s="8" t="str" cm="1">
        <f t="array" aca="1" ref="F523" ca="1">IF(INDIRECT("'Student_Record 1'!O" &amp; ROW())="", "", INDIRECT("'Student_Record 1'!O" &amp; ROW()))</f>
        <v/>
      </c>
      <c r="G523" s="11"/>
      <c r="I523" s="11"/>
      <c r="J523" s="11"/>
      <c r="K523" s="11"/>
      <c r="L523" s="11"/>
      <c r="M523" s="11"/>
      <c r="N523" s="11"/>
      <c r="O523" s="11"/>
      <c r="P523" s="11"/>
      <c r="Q523" s="11"/>
    </row>
    <row r="524" spans="1:17" x14ac:dyDescent="0.25">
      <c r="A524" s="8" t="str" cm="1">
        <f t="array" aca="1" ref="A524" ca="1">IF(INDIRECT("'Student_Record 1'!A" &amp; ROW())="", "", INDIRECT("'Student_Record 1'!A" &amp; ROW()))</f>
        <v/>
      </c>
      <c r="B524" s="8" t="str" cm="1">
        <f t="array" aca="1" ref="B524" ca="1">IF(INDIRECT("'Student_Record 1'!C" &amp; ROW())="", "", INDIRECT("'Student_Record 1'!C" &amp; ROW()))</f>
        <v/>
      </c>
      <c r="C524" s="8" t="str" cm="1">
        <f t="array" aca="1" ref="C524" ca="1">IF(INDIRECT("'Student_Record 1'!E" &amp; ROW())="", "", INDIRECT("'Student_Record 1'!E" &amp; ROW()))</f>
        <v/>
      </c>
      <c r="D524" s="8" t="str" cm="1">
        <f t="array" aca="1" ref="D524" ca="1">IF(INDIRECT("'Student_Record 1'!G" &amp; ROW())="", "", INDIRECT("'Student_Record 1'!G" &amp; ROW()))</f>
        <v/>
      </c>
      <c r="E524" s="8" t="str" cm="1">
        <f t="array" aca="1" ref="E524" ca="1">IF(INDIRECT("'Student_Record 1'!I" &amp; ROW())="", "", INDIRECT("'Student_Record 1'!I" &amp; ROW()))</f>
        <v/>
      </c>
      <c r="F524" s="8" t="str" cm="1">
        <f t="array" aca="1" ref="F524" ca="1">IF(INDIRECT("'Student_Record 1'!O" &amp; ROW())="", "", INDIRECT("'Student_Record 1'!O" &amp; ROW()))</f>
        <v/>
      </c>
      <c r="G524" s="11"/>
      <c r="I524" s="11"/>
      <c r="J524" s="11"/>
      <c r="K524" s="11"/>
      <c r="L524" s="11"/>
      <c r="M524" s="11"/>
      <c r="N524" s="11"/>
      <c r="O524" s="11"/>
      <c r="P524" s="11"/>
      <c r="Q524" s="11"/>
    </row>
    <row r="525" spans="1:17" x14ac:dyDescent="0.25">
      <c r="A525" s="8" t="str" cm="1">
        <f t="array" aca="1" ref="A525" ca="1">IF(INDIRECT("'Student_Record 1'!A" &amp; ROW())="", "", INDIRECT("'Student_Record 1'!A" &amp; ROW()))</f>
        <v/>
      </c>
      <c r="B525" s="8" t="str" cm="1">
        <f t="array" aca="1" ref="B525" ca="1">IF(INDIRECT("'Student_Record 1'!C" &amp; ROW())="", "", INDIRECT("'Student_Record 1'!C" &amp; ROW()))</f>
        <v/>
      </c>
      <c r="C525" s="8" t="str" cm="1">
        <f t="array" aca="1" ref="C525" ca="1">IF(INDIRECT("'Student_Record 1'!E" &amp; ROW())="", "", INDIRECT("'Student_Record 1'!E" &amp; ROW()))</f>
        <v/>
      </c>
      <c r="D525" s="8" t="str" cm="1">
        <f t="array" aca="1" ref="D525" ca="1">IF(INDIRECT("'Student_Record 1'!G" &amp; ROW())="", "", INDIRECT("'Student_Record 1'!G" &amp; ROW()))</f>
        <v/>
      </c>
      <c r="E525" s="8" t="str" cm="1">
        <f t="array" aca="1" ref="E525" ca="1">IF(INDIRECT("'Student_Record 1'!I" &amp; ROW())="", "", INDIRECT("'Student_Record 1'!I" &amp; ROW()))</f>
        <v/>
      </c>
      <c r="F525" s="8" t="str" cm="1">
        <f t="array" aca="1" ref="F525" ca="1">IF(INDIRECT("'Student_Record 1'!O" &amp; ROW())="", "", INDIRECT("'Student_Record 1'!O" &amp; ROW()))</f>
        <v/>
      </c>
      <c r="G525" s="11"/>
      <c r="I525" s="11"/>
      <c r="J525" s="11"/>
      <c r="K525" s="11"/>
      <c r="L525" s="11"/>
      <c r="M525" s="11"/>
      <c r="N525" s="11"/>
      <c r="O525" s="11"/>
      <c r="P525" s="11"/>
      <c r="Q525" s="11"/>
    </row>
    <row r="526" spans="1:17" x14ac:dyDescent="0.25">
      <c r="A526" s="8" t="str" cm="1">
        <f t="array" aca="1" ref="A526" ca="1">IF(INDIRECT("'Student_Record 1'!A" &amp; ROW())="", "", INDIRECT("'Student_Record 1'!A" &amp; ROW()))</f>
        <v/>
      </c>
      <c r="B526" s="8" t="str" cm="1">
        <f t="array" aca="1" ref="B526" ca="1">IF(INDIRECT("'Student_Record 1'!C" &amp; ROW())="", "", INDIRECT("'Student_Record 1'!C" &amp; ROW()))</f>
        <v/>
      </c>
      <c r="C526" s="8" t="str" cm="1">
        <f t="array" aca="1" ref="C526" ca="1">IF(INDIRECT("'Student_Record 1'!E" &amp; ROW())="", "", INDIRECT("'Student_Record 1'!E" &amp; ROW()))</f>
        <v/>
      </c>
      <c r="D526" s="8" t="str" cm="1">
        <f t="array" aca="1" ref="D526" ca="1">IF(INDIRECT("'Student_Record 1'!G" &amp; ROW())="", "", INDIRECT("'Student_Record 1'!G" &amp; ROW()))</f>
        <v/>
      </c>
      <c r="E526" s="8" t="str" cm="1">
        <f t="array" aca="1" ref="E526" ca="1">IF(INDIRECT("'Student_Record 1'!I" &amp; ROW())="", "", INDIRECT("'Student_Record 1'!I" &amp; ROW()))</f>
        <v/>
      </c>
      <c r="F526" s="8" t="str" cm="1">
        <f t="array" aca="1" ref="F526" ca="1">IF(INDIRECT("'Student_Record 1'!O" &amp; ROW())="", "", INDIRECT("'Student_Record 1'!O" &amp; ROW()))</f>
        <v/>
      </c>
      <c r="G526" s="11"/>
      <c r="I526" s="11"/>
      <c r="J526" s="11"/>
      <c r="K526" s="11"/>
      <c r="L526" s="11"/>
      <c r="M526" s="11"/>
      <c r="N526" s="11"/>
      <c r="O526" s="11"/>
      <c r="P526" s="11"/>
      <c r="Q526" s="11"/>
    </row>
    <row r="527" spans="1:17" x14ac:dyDescent="0.25">
      <c r="A527" s="8" t="str" cm="1">
        <f t="array" aca="1" ref="A527" ca="1">IF(INDIRECT("'Student_Record 1'!A" &amp; ROW())="", "", INDIRECT("'Student_Record 1'!A" &amp; ROW()))</f>
        <v/>
      </c>
      <c r="B527" s="8" t="str" cm="1">
        <f t="array" aca="1" ref="B527" ca="1">IF(INDIRECT("'Student_Record 1'!C" &amp; ROW())="", "", INDIRECT("'Student_Record 1'!C" &amp; ROW()))</f>
        <v/>
      </c>
      <c r="C527" s="8" t="str" cm="1">
        <f t="array" aca="1" ref="C527" ca="1">IF(INDIRECT("'Student_Record 1'!E" &amp; ROW())="", "", INDIRECT("'Student_Record 1'!E" &amp; ROW()))</f>
        <v/>
      </c>
      <c r="D527" s="8" t="str" cm="1">
        <f t="array" aca="1" ref="D527" ca="1">IF(INDIRECT("'Student_Record 1'!G" &amp; ROW())="", "", INDIRECT("'Student_Record 1'!G" &amp; ROW()))</f>
        <v/>
      </c>
      <c r="E527" s="8" t="str" cm="1">
        <f t="array" aca="1" ref="E527" ca="1">IF(INDIRECT("'Student_Record 1'!I" &amp; ROW())="", "", INDIRECT("'Student_Record 1'!I" &amp; ROW()))</f>
        <v/>
      </c>
      <c r="F527" s="8" t="str" cm="1">
        <f t="array" aca="1" ref="F527" ca="1">IF(INDIRECT("'Student_Record 1'!O" &amp; ROW())="", "", INDIRECT("'Student_Record 1'!O" &amp; ROW()))</f>
        <v/>
      </c>
      <c r="G527" s="11"/>
      <c r="I527" s="11"/>
      <c r="J527" s="11"/>
      <c r="K527" s="11"/>
      <c r="L527" s="11"/>
      <c r="M527" s="11"/>
      <c r="N527" s="11"/>
      <c r="O527" s="11"/>
      <c r="P527" s="11"/>
      <c r="Q527" s="11"/>
    </row>
    <row r="528" spans="1:17" x14ac:dyDescent="0.25">
      <c r="A528" s="8" t="str" cm="1">
        <f t="array" aca="1" ref="A528" ca="1">IF(INDIRECT("'Student_Record 1'!A" &amp; ROW())="", "", INDIRECT("'Student_Record 1'!A" &amp; ROW()))</f>
        <v/>
      </c>
      <c r="B528" s="8" t="str" cm="1">
        <f t="array" aca="1" ref="B528" ca="1">IF(INDIRECT("'Student_Record 1'!C" &amp; ROW())="", "", INDIRECT("'Student_Record 1'!C" &amp; ROW()))</f>
        <v/>
      </c>
      <c r="C528" s="8" t="str" cm="1">
        <f t="array" aca="1" ref="C528" ca="1">IF(INDIRECT("'Student_Record 1'!E" &amp; ROW())="", "", INDIRECT("'Student_Record 1'!E" &amp; ROW()))</f>
        <v/>
      </c>
      <c r="D528" s="8" t="str" cm="1">
        <f t="array" aca="1" ref="D528" ca="1">IF(INDIRECT("'Student_Record 1'!G" &amp; ROW())="", "", INDIRECT("'Student_Record 1'!G" &amp; ROW()))</f>
        <v/>
      </c>
      <c r="E528" s="8" t="str" cm="1">
        <f t="array" aca="1" ref="E528" ca="1">IF(INDIRECT("'Student_Record 1'!I" &amp; ROW())="", "", INDIRECT("'Student_Record 1'!I" &amp; ROW()))</f>
        <v/>
      </c>
      <c r="F528" s="8" t="str" cm="1">
        <f t="array" aca="1" ref="F528" ca="1">IF(INDIRECT("'Student_Record 1'!O" &amp; ROW())="", "", INDIRECT("'Student_Record 1'!O" &amp; ROW()))</f>
        <v/>
      </c>
      <c r="G528" s="11"/>
      <c r="I528" s="11"/>
      <c r="J528" s="11"/>
      <c r="K528" s="11"/>
      <c r="L528" s="11"/>
      <c r="M528" s="11"/>
      <c r="N528" s="11"/>
      <c r="O528" s="11"/>
      <c r="P528" s="11"/>
      <c r="Q528" s="11"/>
    </row>
    <row r="529" spans="1:17" x14ac:dyDescent="0.25">
      <c r="A529" s="8" t="str" cm="1">
        <f t="array" aca="1" ref="A529" ca="1">IF(INDIRECT("'Student_Record 1'!A" &amp; ROW())="", "", INDIRECT("'Student_Record 1'!A" &amp; ROW()))</f>
        <v/>
      </c>
      <c r="B529" s="8" t="str" cm="1">
        <f t="array" aca="1" ref="B529" ca="1">IF(INDIRECT("'Student_Record 1'!C" &amp; ROW())="", "", INDIRECT("'Student_Record 1'!C" &amp; ROW()))</f>
        <v/>
      </c>
      <c r="C529" s="8" t="str" cm="1">
        <f t="array" aca="1" ref="C529" ca="1">IF(INDIRECT("'Student_Record 1'!E" &amp; ROW())="", "", INDIRECT("'Student_Record 1'!E" &amp; ROW()))</f>
        <v/>
      </c>
      <c r="D529" s="8" t="str" cm="1">
        <f t="array" aca="1" ref="D529" ca="1">IF(INDIRECT("'Student_Record 1'!G" &amp; ROW())="", "", INDIRECT("'Student_Record 1'!G" &amp; ROW()))</f>
        <v/>
      </c>
      <c r="E529" s="8" t="str" cm="1">
        <f t="array" aca="1" ref="E529" ca="1">IF(INDIRECT("'Student_Record 1'!I" &amp; ROW())="", "", INDIRECT("'Student_Record 1'!I" &amp; ROW()))</f>
        <v/>
      </c>
      <c r="F529" s="8" t="str" cm="1">
        <f t="array" aca="1" ref="F529" ca="1">IF(INDIRECT("'Student_Record 1'!O" &amp; ROW())="", "", INDIRECT("'Student_Record 1'!O" &amp; ROW()))</f>
        <v/>
      </c>
      <c r="G529" s="11"/>
      <c r="I529" s="11"/>
      <c r="J529" s="11"/>
      <c r="K529" s="11"/>
      <c r="L529" s="11"/>
      <c r="M529" s="11"/>
      <c r="N529" s="11"/>
      <c r="O529" s="11"/>
      <c r="P529" s="11"/>
      <c r="Q529" s="11"/>
    </row>
    <row r="530" spans="1:17" x14ac:dyDescent="0.25">
      <c r="A530" s="8" t="str" cm="1">
        <f t="array" aca="1" ref="A530" ca="1">IF(INDIRECT("'Student_Record 1'!A" &amp; ROW())="", "", INDIRECT("'Student_Record 1'!A" &amp; ROW()))</f>
        <v/>
      </c>
      <c r="B530" s="8" t="str" cm="1">
        <f t="array" aca="1" ref="B530" ca="1">IF(INDIRECT("'Student_Record 1'!C" &amp; ROW())="", "", INDIRECT("'Student_Record 1'!C" &amp; ROW()))</f>
        <v/>
      </c>
      <c r="C530" s="8" t="str" cm="1">
        <f t="array" aca="1" ref="C530" ca="1">IF(INDIRECT("'Student_Record 1'!E" &amp; ROW())="", "", INDIRECT("'Student_Record 1'!E" &amp; ROW()))</f>
        <v/>
      </c>
      <c r="D530" s="8" t="str" cm="1">
        <f t="array" aca="1" ref="D530" ca="1">IF(INDIRECT("'Student_Record 1'!G" &amp; ROW())="", "", INDIRECT("'Student_Record 1'!G" &amp; ROW()))</f>
        <v/>
      </c>
      <c r="E530" s="8" t="str" cm="1">
        <f t="array" aca="1" ref="E530" ca="1">IF(INDIRECT("'Student_Record 1'!I" &amp; ROW())="", "", INDIRECT("'Student_Record 1'!I" &amp; ROW()))</f>
        <v/>
      </c>
      <c r="F530" s="8" t="str" cm="1">
        <f t="array" aca="1" ref="F530" ca="1">IF(INDIRECT("'Student_Record 1'!O" &amp; ROW())="", "", INDIRECT("'Student_Record 1'!O" &amp; ROW()))</f>
        <v/>
      </c>
      <c r="G530" s="11"/>
      <c r="I530" s="11"/>
      <c r="J530" s="11"/>
      <c r="K530" s="11"/>
      <c r="L530" s="11"/>
      <c r="M530" s="11"/>
      <c r="N530" s="11"/>
      <c r="O530" s="11"/>
      <c r="P530" s="11"/>
      <c r="Q530" s="11"/>
    </row>
    <row r="531" spans="1:17" x14ac:dyDescent="0.25">
      <c r="A531" s="8" t="str" cm="1">
        <f t="array" aca="1" ref="A531" ca="1">IF(INDIRECT("'Student_Record 1'!A" &amp; ROW())="", "", INDIRECT("'Student_Record 1'!A" &amp; ROW()))</f>
        <v/>
      </c>
      <c r="B531" s="8" t="str" cm="1">
        <f t="array" aca="1" ref="B531" ca="1">IF(INDIRECT("'Student_Record 1'!C" &amp; ROW())="", "", INDIRECT("'Student_Record 1'!C" &amp; ROW()))</f>
        <v/>
      </c>
      <c r="C531" s="8" t="str" cm="1">
        <f t="array" aca="1" ref="C531" ca="1">IF(INDIRECT("'Student_Record 1'!E" &amp; ROW())="", "", INDIRECT("'Student_Record 1'!E" &amp; ROW()))</f>
        <v/>
      </c>
      <c r="D531" s="8" t="str" cm="1">
        <f t="array" aca="1" ref="D531" ca="1">IF(INDIRECT("'Student_Record 1'!G" &amp; ROW())="", "", INDIRECT("'Student_Record 1'!G" &amp; ROW()))</f>
        <v/>
      </c>
      <c r="E531" s="8" t="str" cm="1">
        <f t="array" aca="1" ref="E531" ca="1">IF(INDIRECT("'Student_Record 1'!I" &amp; ROW())="", "", INDIRECT("'Student_Record 1'!I" &amp; ROW()))</f>
        <v/>
      </c>
      <c r="F531" s="8" t="str" cm="1">
        <f t="array" aca="1" ref="F531" ca="1">IF(INDIRECT("'Student_Record 1'!O" &amp; ROW())="", "", INDIRECT("'Student_Record 1'!O" &amp; ROW()))</f>
        <v/>
      </c>
      <c r="G531" s="11"/>
      <c r="I531" s="11"/>
      <c r="J531" s="11"/>
      <c r="K531" s="11"/>
      <c r="L531" s="11"/>
      <c r="M531" s="11"/>
      <c r="N531" s="11"/>
      <c r="O531" s="11"/>
      <c r="P531" s="11"/>
      <c r="Q531" s="11"/>
    </row>
    <row r="532" spans="1:17" x14ac:dyDescent="0.25">
      <c r="A532" s="8" t="str" cm="1">
        <f t="array" aca="1" ref="A532" ca="1">IF(INDIRECT("'Student_Record 1'!A" &amp; ROW())="", "", INDIRECT("'Student_Record 1'!A" &amp; ROW()))</f>
        <v/>
      </c>
      <c r="B532" s="8" t="str" cm="1">
        <f t="array" aca="1" ref="B532" ca="1">IF(INDIRECT("'Student_Record 1'!C" &amp; ROW())="", "", INDIRECT("'Student_Record 1'!C" &amp; ROW()))</f>
        <v/>
      </c>
      <c r="C532" s="8" t="str" cm="1">
        <f t="array" aca="1" ref="C532" ca="1">IF(INDIRECT("'Student_Record 1'!E" &amp; ROW())="", "", INDIRECT("'Student_Record 1'!E" &amp; ROW()))</f>
        <v/>
      </c>
      <c r="D532" s="8" t="str" cm="1">
        <f t="array" aca="1" ref="D532" ca="1">IF(INDIRECT("'Student_Record 1'!G" &amp; ROW())="", "", INDIRECT("'Student_Record 1'!G" &amp; ROW()))</f>
        <v/>
      </c>
      <c r="E532" s="8" t="str" cm="1">
        <f t="array" aca="1" ref="E532" ca="1">IF(INDIRECT("'Student_Record 1'!I" &amp; ROW())="", "", INDIRECT("'Student_Record 1'!I" &amp; ROW()))</f>
        <v/>
      </c>
      <c r="F532" s="8" t="str" cm="1">
        <f t="array" aca="1" ref="F532" ca="1">IF(INDIRECT("'Student_Record 1'!O" &amp; ROW())="", "", INDIRECT("'Student_Record 1'!O" &amp; ROW()))</f>
        <v/>
      </c>
      <c r="G532" s="11"/>
      <c r="I532" s="11"/>
      <c r="J532" s="11"/>
      <c r="K532" s="11"/>
      <c r="L532" s="11"/>
      <c r="M532" s="11"/>
      <c r="N532" s="11"/>
      <c r="O532" s="11"/>
      <c r="P532" s="11"/>
      <c r="Q532" s="11"/>
    </row>
    <row r="533" spans="1:17" x14ac:dyDescent="0.25">
      <c r="A533" s="8" t="str" cm="1">
        <f t="array" aca="1" ref="A533" ca="1">IF(INDIRECT("'Student_Record 1'!A" &amp; ROW())="", "", INDIRECT("'Student_Record 1'!A" &amp; ROW()))</f>
        <v/>
      </c>
      <c r="B533" s="8" t="str" cm="1">
        <f t="array" aca="1" ref="B533" ca="1">IF(INDIRECT("'Student_Record 1'!C" &amp; ROW())="", "", INDIRECT("'Student_Record 1'!C" &amp; ROW()))</f>
        <v/>
      </c>
      <c r="C533" s="8" t="str" cm="1">
        <f t="array" aca="1" ref="C533" ca="1">IF(INDIRECT("'Student_Record 1'!E" &amp; ROW())="", "", INDIRECT("'Student_Record 1'!E" &amp; ROW()))</f>
        <v/>
      </c>
      <c r="D533" s="8" t="str" cm="1">
        <f t="array" aca="1" ref="D533" ca="1">IF(INDIRECT("'Student_Record 1'!G" &amp; ROW())="", "", INDIRECT("'Student_Record 1'!G" &amp; ROW()))</f>
        <v/>
      </c>
      <c r="E533" s="8" t="str" cm="1">
        <f t="array" aca="1" ref="E533" ca="1">IF(INDIRECT("'Student_Record 1'!I" &amp; ROW())="", "", INDIRECT("'Student_Record 1'!I" &amp; ROW()))</f>
        <v/>
      </c>
      <c r="F533" s="8" t="str" cm="1">
        <f t="array" aca="1" ref="F533" ca="1">IF(INDIRECT("'Student_Record 1'!O" &amp; ROW())="", "", INDIRECT("'Student_Record 1'!O" &amp; ROW()))</f>
        <v/>
      </c>
      <c r="G533" s="11"/>
      <c r="I533" s="11"/>
      <c r="J533" s="11"/>
      <c r="K533" s="11"/>
      <c r="L533" s="11"/>
      <c r="M533" s="11"/>
      <c r="N533" s="11"/>
      <c r="O533" s="11"/>
      <c r="P533" s="11"/>
      <c r="Q533" s="11"/>
    </row>
    <row r="534" spans="1:17" x14ac:dyDescent="0.25">
      <c r="A534" s="8" t="str" cm="1">
        <f t="array" aca="1" ref="A534" ca="1">IF(INDIRECT("'Student_Record 1'!A" &amp; ROW())="", "", INDIRECT("'Student_Record 1'!A" &amp; ROW()))</f>
        <v/>
      </c>
      <c r="B534" s="8" t="str" cm="1">
        <f t="array" aca="1" ref="B534" ca="1">IF(INDIRECT("'Student_Record 1'!C" &amp; ROW())="", "", INDIRECT("'Student_Record 1'!C" &amp; ROW()))</f>
        <v/>
      </c>
      <c r="C534" s="8" t="str" cm="1">
        <f t="array" aca="1" ref="C534" ca="1">IF(INDIRECT("'Student_Record 1'!E" &amp; ROW())="", "", INDIRECT("'Student_Record 1'!E" &amp; ROW()))</f>
        <v/>
      </c>
      <c r="D534" s="8" t="str" cm="1">
        <f t="array" aca="1" ref="D534" ca="1">IF(INDIRECT("'Student_Record 1'!G" &amp; ROW())="", "", INDIRECT("'Student_Record 1'!G" &amp; ROW()))</f>
        <v/>
      </c>
      <c r="E534" s="8" t="str" cm="1">
        <f t="array" aca="1" ref="E534" ca="1">IF(INDIRECT("'Student_Record 1'!I" &amp; ROW())="", "", INDIRECT("'Student_Record 1'!I" &amp; ROW()))</f>
        <v/>
      </c>
      <c r="F534" s="8" t="str" cm="1">
        <f t="array" aca="1" ref="F534" ca="1">IF(INDIRECT("'Student_Record 1'!O" &amp; ROW())="", "", INDIRECT("'Student_Record 1'!O" &amp; ROW()))</f>
        <v/>
      </c>
      <c r="G534" s="11"/>
      <c r="I534" s="11"/>
      <c r="J534" s="11"/>
      <c r="K534" s="11"/>
      <c r="L534" s="11"/>
      <c r="M534" s="11"/>
      <c r="N534" s="11"/>
      <c r="O534" s="11"/>
      <c r="P534" s="11"/>
      <c r="Q534" s="11"/>
    </row>
    <row r="535" spans="1:17" x14ac:dyDescent="0.25">
      <c r="A535" s="8" t="str" cm="1">
        <f t="array" aca="1" ref="A535" ca="1">IF(INDIRECT("'Student_Record 1'!A" &amp; ROW())="", "", INDIRECT("'Student_Record 1'!A" &amp; ROW()))</f>
        <v/>
      </c>
      <c r="B535" s="8" t="str" cm="1">
        <f t="array" aca="1" ref="B535" ca="1">IF(INDIRECT("'Student_Record 1'!C" &amp; ROW())="", "", INDIRECT("'Student_Record 1'!C" &amp; ROW()))</f>
        <v/>
      </c>
      <c r="C535" s="8" t="str" cm="1">
        <f t="array" aca="1" ref="C535" ca="1">IF(INDIRECT("'Student_Record 1'!E" &amp; ROW())="", "", INDIRECT("'Student_Record 1'!E" &amp; ROW()))</f>
        <v/>
      </c>
      <c r="D535" s="8" t="str" cm="1">
        <f t="array" aca="1" ref="D535" ca="1">IF(INDIRECT("'Student_Record 1'!G" &amp; ROW())="", "", INDIRECT("'Student_Record 1'!G" &amp; ROW()))</f>
        <v/>
      </c>
      <c r="E535" s="8" t="str" cm="1">
        <f t="array" aca="1" ref="E535" ca="1">IF(INDIRECT("'Student_Record 1'!I" &amp; ROW())="", "", INDIRECT("'Student_Record 1'!I" &amp; ROW()))</f>
        <v/>
      </c>
      <c r="F535" s="8" t="str" cm="1">
        <f t="array" aca="1" ref="F535" ca="1">IF(INDIRECT("'Student_Record 1'!O" &amp; ROW())="", "", INDIRECT("'Student_Record 1'!O" &amp; ROW()))</f>
        <v/>
      </c>
      <c r="G535" s="11"/>
      <c r="I535" s="11"/>
      <c r="J535" s="11"/>
      <c r="K535" s="11"/>
      <c r="L535" s="11"/>
      <c r="M535" s="11"/>
      <c r="N535" s="11"/>
      <c r="O535" s="11"/>
      <c r="P535" s="11"/>
      <c r="Q535" s="11"/>
    </row>
    <row r="536" spans="1:17" x14ac:dyDescent="0.25">
      <c r="A536" s="8" t="str" cm="1">
        <f t="array" aca="1" ref="A536" ca="1">IF(INDIRECT("'Student_Record 1'!A" &amp; ROW())="", "", INDIRECT("'Student_Record 1'!A" &amp; ROW()))</f>
        <v/>
      </c>
      <c r="B536" s="8" t="str" cm="1">
        <f t="array" aca="1" ref="B536" ca="1">IF(INDIRECT("'Student_Record 1'!C" &amp; ROW())="", "", INDIRECT("'Student_Record 1'!C" &amp; ROW()))</f>
        <v/>
      </c>
      <c r="C536" s="8" t="str" cm="1">
        <f t="array" aca="1" ref="C536" ca="1">IF(INDIRECT("'Student_Record 1'!E" &amp; ROW())="", "", INDIRECT("'Student_Record 1'!E" &amp; ROW()))</f>
        <v/>
      </c>
      <c r="D536" s="8" t="str" cm="1">
        <f t="array" aca="1" ref="D536" ca="1">IF(INDIRECT("'Student_Record 1'!G" &amp; ROW())="", "", INDIRECT("'Student_Record 1'!G" &amp; ROW()))</f>
        <v/>
      </c>
      <c r="E536" s="8" t="str" cm="1">
        <f t="array" aca="1" ref="E536" ca="1">IF(INDIRECT("'Student_Record 1'!I" &amp; ROW())="", "", INDIRECT("'Student_Record 1'!I" &amp; ROW()))</f>
        <v/>
      </c>
      <c r="F536" s="8" t="str" cm="1">
        <f t="array" aca="1" ref="F536" ca="1">IF(INDIRECT("'Student_Record 1'!O" &amp; ROW())="", "", INDIRECT("'Student_Record 1'!O" &amp; ROW()))</f>
        <v/>
      </c>
      <c r="G536" s="11"/>
      <c r="I536" s="11"/>
      <c r="J536" s="11"/>
      <c r="K536" s="11"/>
      <c r="L536" s="11"/>
      <c r="M536" s="11"/>
      <c r="N536" s="11"/>
      <c r="O536" s="11"/>
      <c r="P536" s="11"/>
      <c r="Q536" s="11"/>
    </row>
    <row r="537" spans="1:17" x14ac:dyDescent="0.25">
      <c r="A537" s="8" t="str" cm="1">
        <f t="array" aca="1" ref="A537" ca="1">IF(INDIRECT("'Student_Record 1'!A" &amp; ROW())="", "", INDIRECT("'Student_Record 1'!A" &amp; ROW()))</f>
        <v/>
      </c>
      <c r="B537" s="8" t="str" cm="1">
        <f t="array" aca="1" ref="B537" ca="1">IF(INDIRECT("'Student_Record 1'!C" &amp; ROW())="", "", INDIRECT("'Student_Record 1'!C" &amp; ROW()))</f>
        <v/>
      </c>
      <c r="C537" s="8" t="str" cm="1">
        <f t="array" aca="1" ref="C537" ca="1">IF(INDIRECT("'Student_Record 1'!E" &amp; ROW())="", "", INDIRECT("'Student_Record 1'!E" &amp; ROW()))</f>
        <v/>
      </c>
      <c r="D537" s="8" t="str" cm="1">
        <f t="array" aca="1" ref="D537" ca="1">IF(INDIRECT("'Student_Record 1'!G" &amp; ROW())="", "", INDIRECT("'Student_Record 1'!G" &amp; ROW()))</f>
        <v/>
      </c>
      <c r="E537" s="8" t="str" cm="1">
        <f t="array" aca="1" ref="E537" ca="1">IF(INDIRECT("'Student_Record 1'!I" &amp; ROW())="", "", INDIRECT("'Student_Record 1'!I" &amp; ROW()))</f>
        <v/>
      </c>
      <c r="F537" s="8" t="str" cm="1">
        <f t="array" aca="1" ref="F537" ca="1">IF(INDIRECT("'Student_Record 1'!O" &amp; ROW())="", "", INDIRECT("'Student_Record 1'!O" &amp; ROW()))</f>
        <v/>
      </c>
      <c r="G537" s="11"/>
      <c r="I537" s="11"/>
      <c r="J537" s="11"/>
      <c r="K537" s="11"/>
      <c r="L537" s="11"/>
      <c r="M537" s="11"/>
      <c r="N537" s="11"/>
      <c r="O537" s="11"/>
      <c r="P537" s="11"/>
      <c r="Q537" s="11"/>
    </row>
    <row r="538" spans="1:17" x14ac:dyDescent="0.25">
      <c r="A538" s="8" t="str" cm="1">
        <f t="array" aca="1" ref="A538" ca="1">IF(INDIRECT("'Student_Record 1'!A" &amp; ROW())="", "", INDIRECT("'Student_Record 1'!A" &amp; ROW()))</f>
        <v/>
      </c>
      <c r="B538" s="8" t="str" cm="1">
        <f t="array" aca="1" ref="B538" ca="1">IF(INDIRECT("'Student_Record 1'!C" &amp; ROW())="", "", INDIRECT("'Student_Record 1'!C" &amp; ROW()))</f>
        <v/>
      </c>
      <c r="C538" s="8" t="str" cm="1">
        <f t="array" aca="1" ref="C538" ca="1">IF(INDIRECT("'Student_Record 1'!E" &amp; ROW())="", "", INDIRECT("'Student_Record 1'!E" &amp; ROW()))</f>
        <v/>
      </c>
      <c r="D538" s="8" t="str" cm="1">
        <f t="array" aca="1" ref="D538" ca="1">IF(INDIRECT("'Student_Record 1'!G" &amp; ROW())="", "", INDIRECT("'Student_Record 1'!G" &amp; ROW()))</f>
        <v/>
      </c>
      <c r="E538" s="8" t="str" cm="1">
        <f t="array" aca="1" ref="E538" ca="1">IF(INDIRECT("'Student_Record 1'!I" &amp; ROW())="", "", INDIRECT("'Student_Record 1'!I" &amp; ROW()))</f>
        <v/>
      </c>
      <c r="F538" s="8" t="str" cm="1">
        <f t="array" aca="1" ref="F538" ca="1">IF(INDIRECT("'Student_Record 1'!O" &amp; ROW())="", "", INDIRECT("'Student_Record 1'!O" &amp; ROW()))</f>
        <v/>
      </c>
      <c r="G538" s="11"/>
      <c r="I538" s="11"/>
      <c r="J538" s="11"/>
      <c r="K538" s="11"/>
      <c r="L538" s="11"/>
      <c r="M538" s="11"/>
      <c r="N538" s="11"/>
      <c r="O538" s="11"/>
      <c r="P538" s="11"/>
      <c r="Q538" s="11"/>
    </row>
    <row r="539" spans="1:17" x14ac:dyDescent="0.25">
      <c r="A539" s="8" t="str" cm="1">
        <f t="array" aca="1" ref="A539" ca="1">IF(INDIRECT("'Student_Record 1'!A" &amp; ROW())="", "", INDIRECT("'Student_Record 1'!A" &amp; ROW()))</f>
        <v/>
      </c>
      <c r="B539" s="8" t="str" cm="1">
        <f t="array" aca="1" ref="B539" ca="1">IF(INDIRECT("'Student_Record 1'!C" &amp; ROW())="", "", INDIRECT("'Student_Record 1'!C" &amp; ROW()))</f>
        <v/>
      </c>
      <c r="C539" s="8" t="str" cm="1">
        <f t="array" aca="1" ref="C539" ca="1">IF(INDIRECT("'Student_Record 1'!E" &amp; ROW())="", "", INDIRECT("'Student_Record 1'!E" &amp; ROW()))</f>
        <v/>
      </c>
      <c r="D539" s="8" t="str" cm="1">
        <f t="array" aca="1" ref="D539" ca="1">IF(INDIRECT("'Student_Record 1'!G" &amp; ROW())="", "", INDIRECT("'Student_Record 1'!G" &amp; ROW()))</f>
        <v/>
      </c>
      <c r="E539" s="8" t="str" cm="1">
        <f t="array" aca="1" ref="E539" ca="1">IF(INDIRECT("'Student_Record 1'!I" &amp; ROW())="", "", INDIRECT("'Student_Record 1'!I" &amp; ROW()))</f>
        <v/>
      </c>
      <c r="F539" s="8" t="str" cm="1">
        <f t="array" aca="1" ref="F539" ca="1">IF(INDIRECT("'Student_Record 1'!O" &amp; ROW())="", "", INDIRECT("'Student_Record 1'!O" &amp; ROW()))</f>
        <v/>
      </c>
      <c r="G539" s="11"/>
      <c r="I539" s="11"/>
      <c r="J539" s="11"/>
      <c r="K539" s="11"/>
      <c r="L539" s="11"/>
      <c r="M539" s="11"/>
      <c r="N539" s="11"/>
      <c r="O539" s="11"/>
      <c r="P539" s="11"/>
      <c r="Q539" s="11"/>
    </row>
    <row r="540" spans="1:17" x14ac:dyDescent="0.25">
      <c r="A540" s="8" t="str" cm="1">
        <f t="array" aca="1" ref="A540" ca="1">IF(INDIRECT("'Student_Record 1'!A" &amp; ROW())="", "", INDIRECT("'Student_Record 1'!A" &amp; ROW()))</f>
        <v/>
      </c>
      <c r="B540" s="8" t="str" cm="1">
        <f t="array" aca="1" ref="B540" ca="1">IF(INDIRECT("'Student_Record 1'!C" &amp; ROW())="", "", INDIRECT("'Student_Record 1'!C" &amp; ROW()))</f>
        <v/>
      </c>
      <c r="C540" s="8" t="str" cm="1">
        <f t="array" aca="1" ref="C540" ca="1">IF(INDIRECT("'Student_Record 1'!E" &amp; ROW())="", "", INDIRECT("'Student_Record 1'!E" &amp; ROW()))</f>
        <v/>
      </c>
      <c r="D540" s="8" t="str" cm="1">
        <f t="array" aca="1" ref="D540" ca="1">IF(INDIRECT("'Student_Record 1'!G" &amp; ROW())="", "", INDIRECT("'Student_Record 1'!G" &amp; ROW()))</f>
        <v/>
      </c>
      <c r="E540" s="8" t="str" cm="1">
        <f t="array" aca="1" ref="E540" ca="1">IF(INDIRECT("'Student_Record 1'!I" &amp; ROW())="", "", INDIRECT("'Student_Record 1'!I" &amp; ROW()))</f>
        <v/>
      </c>
      <c r="F540" s="8" t="str" cm="1">
        <f t="array" aca="1" ref="F540" ca="1">IF(INDIRECT("'Student_Record 1'!O" &amp; ROW())="", "", INDIRECT("'Student_Record 1'!O" &amp; ROW()))</f>
        <v/>
      </c>
      <c r="G540" s="11"/>
      <c r="I540" s="11"/>
      <c r="J540" s="11"/>
      <c r="K540" s="11"/>
      <c r="L540" s="11"/>
      <c r="M540" s="11"/>
      <c r="N540" s="11"/>
      <c r="O540" s="11"/>
      <c r="P540" s="11"/>
      <c r="Q540" s="11"/>
    </row>
    <row r="541" spans="1:17" x14ac:dyDescent="0.25">
      <c r="A541" s="8" t="str" cm="1">
        <f t="array" aca="1" ref="A541" ca="1">IF(INDIRECT("'Student_Record 1'!A" &amp; ROW())="", "", INDIRECT("'Student_Record 1'!A" &amp; ROW()))</f>
        <v/>
      </c>
      <c r="B541" s="8" t="str" cm="1">
        <f t="array" aca="1" ref="B541" ca="1">IF(INDIRECT("'Student_Record 1'!C" &amp; ROW())="", "", INDIRECT("'Student_Record 1'!C" &amp; ROW()))</f>
        <v/>
      </c>
      <c r="C541" s="8" t="str" cm="1">
        <f t="array" aca="1" ref="C541" ca="1">IF(INDIRECT("'Student_Record 1'!E" &amp; ROW())="", "", INDIRECT("'Student_Record 1'!E" &amp; ROW()))</f>
        <v/>
      </c>
      <c r="D541" s="8" t="str" cm="1">
        <f t="array" aca="1" ref="D541" ca="1">IF(INDIRECT("'Student_Record 1'!G" &amp; ROW())="", "", INDIRECT("'Student_Record 1'!G" &amp; ROW()))</f>
        <v/>
      </c>
      <c r="E541" s="8" t="str" cm="1">
        <f t="array" aca="1" ref="E541" ca="1">IF(INDIRECT("'Student_Record 1'!I" &amp; ROW())="", "", INDIRECT("'Student_Record 1'!I" &amp; ROW()))</f>
        <v/>
      </c>
      <c r="F541" s="8" t="str" cm="1">
        <f t="array" aca="1" ref="F541" ca="1">IF(INDIRECT("'Student_Record 1'!O" &amp; ROW())="", "", INDIRECT("'Student_Record 1'!O" &amp; ROW()))</f>
        <v/>
      </c>
      <c r="G541" s="11"/>
      <c r="I541" s="11"/>
      <c r="J541" s="11"/>
      <c r="K541" s="11"/>
      <c r="L541" s="11"/>
      <c r="M541" s="11"/>
      <c r="N541" s="11"/>
      <c r="O541" s="11"/>
      <c r="P541" s="11"/>
      <c r="Q541" s="11"/>
    </row>
    <row r="542" spans="1:17" x14ac:dyDescent="0.25">
      <c r="A542" s="8" t="str" cm="1">
        <f t="array" aca="1" ref="A542" ca="1">IF(INDIRECT("'Student_Record 1'!A" &amp; ROW())="", "", INDIRECT("'Student_Record 1'!A" &amp; ROW()))</f>
        <v/>
      </c>
      <c r="B542" s="8" t="str" cm="1">
        <f t="array" aca="1" ref="B542" ca="1">IF(INDIRECT("'Student_Record 1'!C" &amp; ROW())="", "", INDIRECT("'Student_Record 1'!C" &amp; ROW()))</f>
        <v/>
      </c>
      <c r="C542" s="8" t="str" cm="1">
        <f t="array" aca="1" ref="C542" ca="1">IF(INDIRECT("'Student_Record 1'!E" &amp; ROW())="", "", INDIRECT("'Student_Record 1'!E" &amp; ROW()))</f>
        <v/>
      </c>
      <c r="D542" s="8" t="str" cm="1">
        <f t="array" aca="1" ref="D542" ca="1">IF(INDIRECT("'Student_Record 1'!G" &amp; ROW())="", "", INDIRECT("'Student_Record 1'!G" &amp; ROW()))</f>
        <v/>
      </c>
      <c r="E542" s="8" t="str" cm="1">
        <f t="array" aca="1" ref="E542" ca="1">IF(INDIRECT("'Student_Record 1'!I" &amp; ROW())="", "", INDIRECT("'Student_Record 1'!I" &amp; ROW()))</f>
        <v/>
      </c>
      <c r="F542" s="8" t="str" cm="1">
        <f t="array" aca="1" ref="F542" ca="1">IF(INDIRECT("'Student_Record 1'!O" &amp; ROW())="", "", INDIRECT("'Student_Record 1'!O" &amp; ROW()))</f>
        <v/>
      </c>
      <c r="G542" s="11"/>
      <c r="I542" s="11"/>
      <c r="J542" s="11"/>
      <c r="K542" s="11"/>
      <c r="L542" s="11"/>
      <c r="M542" s="11"/>
      <c r="N542" s="11"/>
      <c r="O542" s="11"/>
      <c r="P542" s="11"/>
      <c r="Q542" s="11"/>
    </row>
    <row r="543" spans="1:17" x14ac:dyDescent="0.25">
      <c r="A543" s="8" t="str" cm="1">
        <f t="array" aca="1" ref="A543" ca="1">IF(INDIRECT("'Student_Record 1'!A" &amp; ROW())="", "", INDIRECT("'Student_Record 1'!A" &amp; ROW()))</f>
        <v/>
      </c>
      <c r="B543" s="8" t="str" cm="1">
        <f t="array" aca="1" ref="B543" ca="1">IF(INDIRECT("'Student_Record 1'!C" &amp; ROW())="", "", INDIRECT("'Student_Record 1'!C" &amp; ROW()))</f>
        <v/>
      </c>
      <c r="C543" s="8" t="str" cm="1">
        <f t="array" aca="1" ref="C543" ca="1">IF(INDIRECT("'Student_Record 1'!E" &amp; ROW())="", "", INDIRECT("'Student_Record 1'!E" &amp; ROW()))</f>
        <v/>
      </c>
      <c r="D543" s="8" t="str" cm="1">
        <f t="array" aca="1" ref="D543" ca="1">IF(INDIRECT("'Student_Record 1'!G" &amp; ROW())="", "", INDIRECT("'Student_Record 1'!G" &amp; ROW()))</f>
        <v/>
      </c>
      <c r="E543" s="8" t="str" cm="1">
        <f t="array" aca="1" ref="E543" ca="1">IF(INDIRECT("'Student_Record 1'!I" &amp; ROW())="", "", INDIRECT("'Student_Record 1'!I" &amp; ROW()))</f>
        <v/>
      </c>
      <c r="F543" s="8" t="str" cm="1">
        <f t="array" aca="1" ref="F543" ca="1">IF(INDIRECT("'Student_Record 1'!O" &amp; ROW())="", "", INDIRECT("'Student_Record 1'!O" &amp; ROW()))</f>
        <v/>
      </c>
      <c r="G543" s="11"/>
      <c r="I543" s="11"/>
      <c r="J543" s="11"/>
      <c r="K543" s="11"/>
      <c r="L543" s="11"/>
      <c r="M543" s="11"/>
      <c r="N543" s="11"/>
      <c r="O543" s="11"/>
      <c r="P543" s="11"/>
      <c r="Q543" s="11"/>
    </row>
    <row r="544" spans="1:17" x14ac:dyDescent="0.25">
      <c r="A544" s="8" t="str" cm="1">
        <f t="array" aca="1" ref="A544" ca="1">IF(INDIRECT("'Student_Record 1'!A" &amp; ROW())="", "", INDIRECT("'Student_Record 1'!A" &amp; ROW()))</f>
        <v/>
      </c>
      <c r="B544" s="8" t="str" cm="1">
        <f t="array" aca="1" ref="B544" ca="1">IF(INDIRECT("'Student_Record 1'!C" &amp; ROW())="", "", INDIRECT("'Student_Record 1'!C" &amp; ROW()))</f>
        <v/>
      </c>
      <c r="C544" s="8" t="str" cm="1">
        <f t="array" aca="1" ref="C544" ca="1">IF(INDIRECT("'Student_Record 1'!E" &amp; ROW())="", "", INDIRECT("'Student_Record 1'!E" &amp; ROW()))</f>
        <v/>
      </c>
      <c r="D544" s="8" t="str" cm="1">
        <f t="array" aca="1" ref="D544" ca="1">IF(INDIRECT("'Student_Record 1'!G" &amp; ROW())="", "", INDIRECT("'Student_Record 1'!G" &amp; ROW()))</f>
        <v/>
      </c>
      <c r="E544" s="8" t="str" cm="1">
        <f t="array" aca="1" ref="E544" ca="1">IF(INDIRECT("'Student_Record 1'!I" &amp; ROW())="", "", INDIRECT("'Student_Record 1'!I" &amp; ROW()))</f>
        <v/>
      </c>
      <c r="F544" s="8" t="str" cm="1">
        <f t="array" aca="1" ref="F544" ca="1">IF(INDIRECT("'Student_Record 1'!O" &amp; ROW())="", "", INDIRECT("'Student_Record 1'!O" &amp; ROW()))</f>
        <v/>
      </c>
      <c r="G544" s="11"/>
      <c r="I544" s="11"/>
      <c r="J544" s="11"/>
      <c r="K544" s="11"/>
      <c r="L544" s="11"/>
      <c r="M544" s="11"/>
      <c r="N544" s="11"/>
      <c r="O544" s="11"/>
      <c r="P544" s="11"/>
      <c r="Q544" s="11"/>
    </row>
    <row r="545" spans="1:17" x14ac:dyDescent="0.25">
      <c r="A545" s="8" t="str" cm="1">
        <f t="array" aca="1" ref="A545" ca="1">IF(INDIRECT("'Student_Record 1'!A" &amp; ROW())="", "", INDIRECT("'Student_Record 1'!A" &amp; ROW()))</f>
        <v/>
      </c>
      <c r="B545" s="8" t="str" cm="1">
        <f t="array" aca="1" ref="B545" ca="1">IF(INDIRECT("'Student_Record 1'!C" &amp; ROW())="", "", INDIRECT("'Student_Record 1'!C" &amp; ROW()))</f>
        <v/>
      </c>
      <c r="C545" s="8" t="str" cm="1">
        <f t="array" aca="1" ref="C545" ca="1">IF(INDIRECT("'Student_Record 1'!E" &amp; ROW())="", "", INDIRECT("'Student_Record 1'!E" &amp; ROW()))</f>
        <v/>
      </c>
      <c r="D545" s="8" t="str" cm="1">
        <f t="array" aca="1" ref="D545" ca="1">IF(INDIRECT("'Student_Record 1'!G" &amp; ROW())="", "", INDIRECT("'Student_Record 1'!G" &amp; ROW()))</f>
        <v/>
      </c>
      <c r="E545" s="8" t="str" cm="1">
        <f t="array" aca="1" ref="E545" ca="1">IF(INDIRECT("'Student_Record 1'!I" &amp; ROW())="", "", INDIRECT("'Student_Record 1'!I" &amp; ROW()))</f>
        <v/>
      </c>
      <c r="F545" s="8" t="str" cm="1">
        <f t="array" aca="1" ref="F545" ca="1">IF(INDIRECT("'Student_Record 1'!O" &amp; ROW())="", "", INDIRECT("'Student_Record 1'!O" &amp; ROW()))</f>
        <v/>
      </c>
      <c r="G545" s="11"/>
      <c r="I545" s="11"/>
      <c r="J545" s="11"/>
      <c r="K545" s="11"/>
      <c r="L545" s="11"/>
      <c r="M545" s="11"/>
      <c r="N545" s="11"/>
      <c r="O545" s="11"/>
      <c r="P545" s="11"/>
      <c r="Q545" s="11"/>
    </row>
    <row r="546" spans="1:17" x14ac:dyDescent="0.25">
      <c r="A546" s="8" t="str" cm="1">
        <f t="array" aca="1" ref="A546" ca="1">IF(INDIRECT("'Student_Record 1'!A" &amp; ROW())="", "", INDIRECT("'Student_Record 1'!A" &amp; ROW()))</f>
        <v/>
      </c>
      <c r="B546" s="8" t="str" cm="1">
        <f t="array" aca="1" ref="B546" ca="1">IF(INDIRECT("'Student_Record 1'!C" &amp; ROW())="", "", INDIRECT("'Student_Record 1'!C" &amp; ROW()))</f>
        <v/>
      </c>
      <c r="C546" s="8" t="str" cm="1">
        <f t="array" aca="1" ref="C546" ca="1">IF(INDIRECT("'Student_Record 1'!E" &amp; ROW())="", "", INDIRECT("'Student_Record 1'!E" &amp; ROW()))</f>
        <v/>
      </c>
      <c r="D546" s="8" t="str" cm="1">
        <f t="array" aca="1" ref="D546" ca="1">IF(INDIRECT("'Student_Record 1'!G" &amp; ROW())="", "", INDIRECT("'Student_Record 1'!G" &amp; ROW()))</f>
        <v/>
      </c>
      <c r="E546" s="8" t="str" cm="1">
        <f t="array" aca="1" ref="E546" ca="1">IF(INDIRECT("'Student_Record 1'!I" &amp; ROW())="", "", INDIRECT("'Student_Record 1'!I" &amp; ROW()))</f>
        <v/>
      </c>
      <c r="F546" s="8" t="str" cm="1">
        <f t="array" aca="1" ref="F546" ca="1">IF(INDIRECT("'Student_Record 1'!O" &amp; ROW())="", "", INDIRECT("'Student_Record 1'!O" &amp; ROW()))</f>
        <v/>
      </c>
      <c r="G546" s="11"/>
      <c r="I546" s="11"/>
      <c r="J546" s="11"/>
      <c r="K546" s="11"/>
      <c r="L546" s="11"/>
      <c r="M546" s="11"/>
      <c r="N546" s="11"/>
      <c r="O546" s="11"/>
      <c r="P546" s="11"/>
      <c r="Q546" s="11"/>
    </row>
    <row r="547" spans="1:17" x14ac:dyDescent="0.25">
      <c r="A547" s="8" t="str" cm="1">
        <f t="array" aca="1" ref="A547" ca="1">IF(INDIRECT("'Student_Record 1'!A" &amp; ROW())="", "", INDIRECT("'Student_Record 1'!A" &amp; ROW()))</f>
        <v/>
      </c>
      <c r="B547" s="8" t="str" cm="1">
        <f t="array" aca="1" ref="B547" ca="1">IF(INDIRECT("'Student_Record 1'!C" &amp; ROW())="", "", INDIRECT("'Student_Record 1'!C" &amp; ROW()))</f>
        <v/>
      </c>
      <c r="C547" s="8" t="str" cm="1">
        <f t="array" aca="1" ref="C547" ca="1">IF(INDIRECT("'Student_Record 1'!E" &amp; ROW())="", "", INDIRECT("'Student_Record 1'!E" &amp; ROW()))</f>
        <v/>
      </c>
      <c r="D547" s="8" t="str" cm="1">
        <f t="array" aca="1" ref="D547" ca="1">IF(INDIRECT("'Student_Record 1'!G" &amp; ROW())="", "", INDIRECT("'Student_Record 1'!G" &amp; ROW()))</f>
        <v/>
      </c>
      <c r="E547" s="8" t="str" cm="1">
        <f t="array" aca="1" ref="E547" ca="1">IF(INDIRECT("'Student_Record 1'!I" &amp; ROW())="", "", INDIRECT("'Student_Record 1'!I" &amp; ROW()))</f>
        <v/>
      </c>
      <c r="F547" s="8" t="str" cm="1">
        <f t="array" aca="1" ref="F547" ca="1">IF(INDIRECT("'Student_Record 1'!O" &amp; ROW())="", "", INDIRECT("'Student_Record 1'!O" &amp; ROW()))</f>
        <v/>
      </c>
      <c r="G547" s="11"/>
      <c r="I547" s="11"/>
      <c r="J547" s="11"/>
      <c r="K547" s="11"/>
      <c r="L547" s="11"/>
      <c r="M547" s="11"/>
      <c r="N547" s="11"/>
      <c r="O547" s="11"/>
      <c r="P547" s="11"/>
      <c r="Q547" s="11"/>
    </row>
    <row r="548" spans="1:17" x14ac:dyDescent="0.25">
      <c r="A548" s="8" t="str" cm="1">
        <f t="array" aca="1" ref="A548" ca="1">IF(INDIRECT("'Student_Record 1'!A" &amp; ROW())="", "", INDIRECT("'Student_Record 1'!A" &amp; ROW()))</f>
        <v/>
      </c>
      <c r="B548" s="8" t="str" cm="1">
        <f t="array" aca="1" ref="B548" ca="1">IF(INDIRECT("'Student_Record 1'!C" &amp; ROW())="", "", INDIRECT("'Student_Record 1'!C" &amp; ROW()))</f>
        <v/>
      </c>
      <c r="C548" s="8" t="str" cm="1">
        <f t="array" aca="1" ref="C548" ca="1">IF(INDIRECT("'Student_Record 1'!E" &amp; ROW())="", "", INDIRECT("'Student_Record 1'!E" &amp; ROW()))</f>
        <v/>
      </c>
      <c r="D548" s="8" t="str" cm="1">
        <f t="array" aca="1" ref="D548" ca="1">IF(INDIRECT("'Student_Record 1'!G" &amp; ROW())="", "", INDIRECT("'Student_Record 1'!G" &amp; ROW()))</f>
        <v/>
      </c>
      <c r="E548" s="8" t="str" cm="1">
        <f t="array" aca="1" ref="E548" ca="1">IF(INDIRECT("'Student_Record 1'!I" &amp; ROW())="", "", INDIRECT("'Student_Record 1'!I" &amp; ROW()))</f>
        <v/>
      </c>
      <c r="F548" s="8" t="str" cm="1">
        <f t="array" aca="1" ref="F548" ca="1">IF(INDIRECT("'Student_Record 1'!O" &amp; ROW())="", "", INDIRECT("'Student_Record 1'!O" &amp; ROW()))</f>
        <v/>
      </c>
      <c r="G548" s="11"/>
      <c r="I548" s="11"/>
      <c r="J548" s="11"/>
      <c r="K548" s="11"/>
      <c r="L548" s="11"/>
      <c r="M548" s="11"/>
      <c r="N548" s="11"/>
      <c r="O548" s="11"/>
      <c r="P548" s="11"/>
      <c r="Q548" s="11"/>
    </row>
    <row r="549" spans="1:17" x14ac:dyDescent="0.25">
      <c r="A549" s="8" t="str" cm="1">
        <f t="array" aca="1" ref="A549" ca="1">IF(INDIRECT("'Student_Record 1'!A" &amp; ROW())="", "", INDIRECT("'Student_Record 1'!A" &amp; ROW()))</f>
        <v/>
      </c>
      <c r="B549" s="8" t="str" cm="1">
        <f t="array" aca="1" ref="B549" ca="1">IF(INDIRECT("'Student_Record 1'!C" &amp; ROW())="", "", INDIRECT("'Student_Record 1'!C" &amp; ROW()))</f>
        <v/>
      </c>
      <c r="C549" s="8" t="str" cm="1">
        <f t="array" aca="1" ref="C549" ca="1">IF(INDIRECT("'Student_Record 1'!E" &amp; ROW())="", "", INDIRECT("'Student_Record 1'!E" &amp; ROW()))</f>
        <v/>
      </c>
      <c r="D549" s="8" t="str" cm="1">
        <f t="array" aca="1" ref="D549" ca="1">IF(INDIRECT("'Student_Record 1'!G" &amp; ROW())="", "", INDIRECT("'Student_Record 1'!G" &amp; ROW()))</f>
        <v/>
      </c>
      <c r="E549" s="8" t="str" cm="1">
        <f t="array" aca="1" ref="E549" ca="1">IF(INDIRECT("'Student_Record 1'!I" &amp; ROW())="", "", INDIRECT("'Student_Record 1'!I" &amp; ROW()))</f>
        <v/>
      </c>
      <c r="F549" s="8" t="str" cm="1">
        <f t="array" aca="1" ref="F549" ca="1">IF(INDIRECT("'Student_Record 1'!O" &amp; ROW())="", "", INDIRECT("'Student_Record 1'!O" &amp; ROW()))</f>
        <v/>
      </c>
      <c r="G549" s="11"/>
      <c r="I549" s="11"/>
      <c r="J549" s="11"/>
      <c r="K549" s="11"/>
      <c r="L549" s="11"/>
      <c r="M549" s="11"/>
      <c r="N549" s="11"/>
      <c r="O549" s="11"/>
      <c r="P549" s="11"/>
      <c r="Q549" s="11"/>
    </row>
    <row r="550" spans="1:17" x14ac:dyDescent="0.25">
      <c r="A550" s="8" t="str" cm="1">
        <f t="array" aca="1" ref="A550" ca="1">IF(INDIRECT("'Student_Record 1'!A" &amp; ROW())="", "", INDIRECT("'Student_Record 1'!A" &amp; ROW()))</f>
        <v/>
      </c>
      <c r="B550" s="8" t="str" cm="1">
        <f t="array" aca="1" ref="B550" ca="1">IF(INDIRECT("'Student_Record 1'!C" &amp; ROW())="", "", INDIRECT("'Student_Record 1'!C" &amp; ROW()))</f>
        <v/>
      </c>
      <c r="C550" s="8" t="str" cm="1">
        <f t="array" aca="1" ref="C550" ca="1">IF(INDIRECT("'Student_Record 1'!E" &amp; ROW())="", "", INDIRECT("'Student_Record 1'!E" &amp; ROW()))</f>
        <v/>
      </c>
      <c r="D550" s="8" t="str" cm="1">
        <f t="array" aca="1" ref="D550" ca="1">IF(INDIRECT("'Student_Record 1'!G" &amp; ROW())="", "", INDIRECT("'Student_Record 1'!G" &amp; ROW()))</f>
        <v/>
      </c>
      <c r="E550" s="8" t="str" cm="1">
        <f t="array" aca="1" ref="E550" ca="1">IF(INDIRECT("'Student_Record 1'!I" &amp; ROW())="", "", INDIRECT("'Student_Record 1'!I" &amp; ROW()))</f>
        <v/>
      </c>
      <c r="F550" s="8" t="str" cm="1">
        <f t="array" aca="1" ref="F550" ca="1">IF(INDIRECT("'Student_Record 1'!O" &amp; ROW())="", "", INDIRECT("'Student_Record 1'!O" &amp; ROW()))</f>
        <v/>
      </c>
      <c r="G550" s="11"/>
      <c r="I550" s="11"/>
      <c r="J550" s="11"/>
      <c r="K550" s="11"/>
      <c r="L550" s="11"/>
      <c r="M550" s="11"/>
      <c r="N550" s="11"/>
      <c r="O550" s="11"/>
      <c r="P550" s="11"/>
      <c r="Q550" s="11"/>
    </row>
    <row r="551" spans="1:17" x14ac:dyDescent="0.25">
      <c r="A551" s="8" t="str" cm="1">
        <f t="array" aca="1" ref="A551" ca="1">IF(INDIRECT("'Student_Record 1'!A" &amp; ROW())="", "", INDIRECT("'Student_Record 1'!A" &amp; ROW()))</f>
        <v/>
      </c>
      <c r="B551" s="8" t="str" cm="1">
        <f t="array" aca="1" ref="B551" ca="1">IF(INDIRECT("'Student_Record 1'!C" &amp; ROW())="", "", INDIRECT("'Student_Record 1'!C" &amp; ROW()))</f>
        <v/>
      </c>
      <c r="C551" s="8" t="str" cm="1">
        <f t="array" aca="1" ref="C551" ca="1">IF(INDIRECT("'Student_Record 1'!E" &amp; ROW())="", "", INDIRECT("'Student_Record 1'!E" &amp; ROW()))</f>
        <v/>
      </c>
      <c r="D551" s="8" t="str" cm="1">
        <f t="array" aca="1" ref="D551" ca="1">IF(INDIRECT("'Student_Record 1'!G" &amp; ROW())="", "", INDIRECT("'Student_Record 1'!G" &amp; ROW()))</f>
        <v/>
      </c>
      <c r="E551" s="8" t="str" cm="1">
        <f t="array" aca="1" ref="E551" ca="1">IF(INDIRECT("'Student_Record 1'!I" &amp; ROW())="", "", INDIRECT("'Student_Record 1'!I" &amp; ROW()))</f>
        <v/>
      </c>
      <c r="F551" s="8" t="str" cm="1">
        <f t="array" aca="1" ref="F551" ca="1">IF(INDIRECT("'Student_Record 1'!O" &amp; ROW())="", "", INDIRECT("'Student_Record 1'!O" &amp; ROW()))</f>
        <v/>
      </c>
      <c r="G551" s="11"/>
      <c r="I551" s="11"/>
      <c r="J551" s="11"/>
      <c r="K551" s="11"/>
      <c r="L551" s="11"/>
      <c r="M551" s="11"/>
      <c r="N551" s="11"/>
      <c r="O551" s="11"/>
      <c r="P551" s="11"/>
      <c r="Q551" s="11"/>
    </row>
    <row r="552" spans="1:17" x14ac:dyDescent="0.25">
      <c r="A552" s="8" t="str" cm="1">
        <f t="array" aca="1" ref="A552" ca="1">IF(INDIRECT("'Student_Record 1'!A" &amp; ROW())="", "", INDIRECT("'Student_Record 1'!A" &amp; ROW()))</f>
        <v/>
      </c>
      <c r="B552" s="8" t="str" cm="1">
        <f t="array" aca="1" ref="B552" ca="1">IF(INDIRECT("'Student_Record 1'!C" &amp; ROW())="", "", INDIRECT("'Student_Record 1'!C" &amp; ROW()))</f>
        <v/>
      </c>
      <c r="C552" s="8" t="str" cm="1">
        <f t="array" aca="1" ref="C552" ca="1">IF(INDIRECT("'Student_Record 1'!E" &amp; ROW())="", "", INDIRECT("'Student_Record 1'!E" &amp; ROW()))</f>
        <v/>
      </c>
      <c r="D552" s="8" t="str" cm="1">
        <f t="array" aca="1" ref="D552" ca="1">IF(INDIRECT("'Student_Record 1'!G" &amp; ROW())="", "", INDIRECT("'Student_Record 1'!G" &amp; ROW()))</f>
        <v/>
      </c>
      <c r="E552" s="8" t="str" cm="1">
        <f t="array" aca="1" ref="E552" ca="1">IF(INDIRECT("'Student_Record 1'!I" &amp; ROW())="", "", INDIRECT("'Student_Record 1'!I" &amp; ROW()))</f>
        <v/>
      </c>
      <c r="F552" s="8" t="str" cm="1">
        <f t="array" aca="1" ref="F552" ca="1">IF(INDIRECT("'Student_Record 1'!O" &amp; ROW())="", "", INDIRECT("'Student_Record 1'!O" &amp; ROW()))</f>
        <v/>
      </c>
      <c r="G552" s="11"/>
      <c r="I552" s="11"/>
      <c r="J552" s="11"/>
      <c r="K552" s="11"/>
      <c r="L552" s="11"/>
      <c r="M552" s="11"/>
      <c r="N552" s="11"/>
      <c r="O552" s="11"/>
      <c r="P552" s="11"/>
      <c r="Q552" s="11"/>
    </row>
    <row r="553" spans="1:17" x14ac:dyDescent="0.25">
      <c r="A553" s="8" t="str" cm="1">
        <f t="array" aca="1" ref="A553" ca="1">IF(INDIRECT("'Student_Record 1'!A" &amp; ROW())="", "", INDIRECT("'Student_Record 1'!A" &amp; ROW()))</f>
        <v/>
      </c>
      <c r="B553" s="8" t="str" cm="1">
        <f t="array" aca="1" ref="B553" ca="1">IF(INDIRECT("'Student_Record 1'!C" &amp; ROW())="", "", INDIRECT("'Student_Record 1'!C" &amp; ROW()))</f>
        <v/>
      </c>
      <c r="C553" s="8" t="str" cm="1">
        <f t="array" aca="1" ref="C553" ca="1">IF(INDIRECT("'Student_Record 1'!E" &amp; ROW())="", "", INDIRECT("'Student_Record 1'!E" &amp; ROW()))</f>
        <v/>
      </c>
      <c r="D553" s="8" t="str" cm="1">
        <f t="array" aca="1" ref="D553" ca="1">IF(INDIRECT("'Student_Record 1'!G" &amp; ROW())="", "", INDIRECT("'Student_Record 1'!G" &amp; ROW()))</f>
        <v/>
      </c>
      <c r="E553" s="8" t="str" cm="1">
        <f t="array" aca="1" ref="E553" ca="1">IF(INDIRECT("'Student_Record 1'!I" &amp; ROW())="", "", INDIRECT("'Student_Record 1'!I" &amp; ROW()))</f>
        <v/>
      </c>
      <c r="F553" s="8" t="str" cm="1">
        <f t="array" aca="1" ref="F553" ca="1">IF(INDIRECT("'Student_Record 1'!O" &amp; ROW())="", "", INDIRECT("'Student_Record 1'!O" &amp; ROW()))</f>
        <v/>
      </c>
      <c r="G553" s="11"/>
      <c r="I553" s="11"/>
      <c r="J553" s="11"/>
      <c r="K553" s="11"/>
      <c r="L553" s="11"/>
      <c r="M553" s="11"/>
      <c r="N553" s="11"/>
      <c r="O553" s="11"/>
      <c r="P553" s="11"/>
      <c r="Q553" s="11"/>
    </row>
    <row r="554" spans="1:17" x14ac:dyDescent="0.25">
      <c r="A554" s="8" t="str" cm="1">
        <f t="array" aca="1" ref="A554" ca="1">IF(INDIRECT("'Student_Record 1'!A" &amp; ROW())="", "", INDIRECT("'Student_Record 1'!A" &amp; ROW()))</f>
        <v/>
      </c>
      <c r="B554" s="8" t="str" cm="1">
        <f t="array" aca="1" ref="B554" ca="1">IF(INDIRECT("'Student_Record 1'!C" &amp; ROW())="", "", INDIRECT("'Student_Record 1'!C" &amp; ROW()))</f>
        <v/>
      </c>
      <c r="C554" s="8" t="str" cm="1">
        <f t="array" aca="1" ref="C554" ca="1">IF(INDIRECT("'Student_Record 1'!E" &amp; ROW())="", "", INDIRECT("'Student_Record 1'!E" &amp; ROW()))</f>
        <v/>
      </c>
      <c r="D554" s="8" t="str" cm="1">
        <f t="array" aca="1" ref="D554" ca="1">IF(INDIRECT("'Student_Record 1'!G" &amp; ROW())="", "", INDIRECT("'Student_Record 1'!G" &amp; ROW()))</f>
        <v/>
      </c>
      <c r="E554" s="8" t="str" cm="1">
        <f t="array" aca="1" ref="E554" ca="1">IF(INDIRECT("'Student_Record 1'!I" &amp; ROW())="", "", INDIRECT("'Student_Record 1'!I" &amp; ROW()))</f>
        <v/>
      </c>
      <c r="F554" s="8" t="str" cm="1">
        <f t="array" aca="1" ref="F554" ca="1">IF(INDIRECT("'Student_Record 1'!O" &amp; ROW())="", "", INDIRECT("'Student_Record 1'!O" &amp; ROW()))</f>
        <v/>
      </c>
      <c r="G554" s="11"/>
      <c r="I554" s="11"/>
      <c r="J554" s="11"/>
      <c r="K554" s="11"/>
      <c r="L554" s="11"/>
      <c r="M554" s="11"/>
      <c r="N554" s="11"/>
      <c r="O554" s="11"/>
      <c r="P554" s="11"/>
      <c r="Q554" s="11"/>
    </row>
    <row r="555" spans="1:17" x14ac:dyDescent="0.25">
      <c r="A555" s="8" t="str" cm="1">
        <f t="array" aca="1" ref="A555" ca="1">IF(INDIRECT("'Student_Record 1'!A" &amp; ROW())="", "", INDIRECT("'Student_Record 1'!A" &amp; ROW()))</f>
        <v/>
      </c>
      <c r="B555" s="8" t="str" cm="1">
        <f t="array" aca="1" ref="B555" ca="1">IF(INDIRECT("'Student_Record 1'!C" &amp; ROW())="", "", INDIRECT("'Student_Record 1'!C" &amp; ROW()))</f>
        <v/>
      </c>
      <c r="C555" s="8" t="str" cm="1">
        <f t="array" aca="1" ref="C555" ca="1">IF(INDIRECT("'Student_Record 1'!E" &amp; ROW())="", "", INDIRECT("'Student_Record 1'!E" &amp; ROW()))</f>
        <v/>
      </c>
      <c r="D555" s="8" t="str" cm="1">
        <f t="array" aca="1" ref="D555" ca="1">IF(INDIRECT("'Student_Record 1'!G" &amp; ROW())="", "", INDIRECT("'Student_Record 1'!G" &amp; ROW()))</f>
        <v/>
      </c>
      <c r="E555" s="8" t="str" cm="1">
        <f t="array" aca="1" ref="E555" ca="1">IF(INDIRECT("'Student_Record 1'!I" &amp; ROW())="", "", INDIRECT("'Student_Record 1'!I" &amp; ROW()))</f>
        <v/>
      </c>
      <c r="F555" s="8" t="str" cm="1">
        <f t="array" aca="1" ref="F555" ca="1">IF(INDIRECT("'Student_Record 1'!O" &amp; ROW())="", "", INDIRECT("'Student_Record 1'!O" &amp; ROW()))</f>
        <v/>
      </c>
      <c r="G555" s="11"/>
      <c r="I555" s="11"/>
      <c r="J555" s="11"/>
      <c r="K555" s="11"/>
      <c r="L555" s="11"/>
      <c r="M555" s="11"/>
      <c r="N555" s="11"/>
      <c r="O555" s="11"/>
      <c r="P555" s="11"/>
      <c r="Q555" s="11"/>
    </row>
    <row r="556" spans="1:17" x14ac:dyDescent="0.25">
      <c r="A556" s="8" t="str" cm="1">
        <f t="array" aca="1" ref="A556" ca="1">IF(INDIRECT("'Student_Record 1'!A" &amp; ROW())="", "", INDIRECT("'Student_Record 1'!A" &amp; ROW()))</f>
        <v/>
      </c>
      <c r="B556" s="8" t="str" cm="1">
        <f t="array" aca="1" ref="B556" ca="1">IF(INDIRECT("'Student_Record 1'!C" &amp; ROW())="", "", INDIRECT("'Student_Record 1'!C" &amp; ROW()))</f>
        <v/>
      </c>
      <c r="C556" s="8" t="str" cm="1">
        <f t="array" aca="1" ref="C556" ca="1">IF(INDIRECT("'Student_Record 1'!E" &amp; ROW())="", "", INDIRECT("'Student_Record 1'!E" &amp; ROW()))</f>
        <v/>
      </c>
      <c r="D556" s="8" t="str" cm="1">
        <f t="array" aca="1" ref="D556" ca="1">IF(INDIRECT("'Student_Record 1'!G" &amp; ROW())="", "", INDIRECT("'Student_Record 1'!G" &amp; ROW()))</f>
        <v/>
      </c>
      <c r="E556" s="8" t="str" cm="1">
        <f t="array" aca="1" ref="E556" ca="1">IF(INDIRECT("'Student_Record 1'!I" &amp; ROW())="", "", INDIRECT("'Student_Record 1'!I" &amp; ROW()))</f>
        <v/>
      </c>
      <c r="F556" s="8" t="str" cm="1">
        <f t="array" aca="1" ref="F556" ca="1">IF(INDIRECT("'Student_Record 1'!O" &amp; ROW())="", "", INDIRECT("'Student_Record 1'!O" &amp; ROW()))</f>
        <v/>
      </c>
      <c r="G556" s="11"/>
      <c r="I556" s="11"/>
      <c r="J556" s="11"/>
      <c r="K556" s="11"/>
      <c r="L556" s="11"/>
      <c r="M556" s="11"/>
      <c r="N556" s="11"/>
      <c r="O556" s="11"/>
      <c r="P556" s="11"/>
      <c r="Q556" s="11"/>
    </row>
    <row r="557" spans="1:17" x14ac:dyDescent="0.25">
      <c r="A557" s="8" t="str" cm="1">
        <f t="array" aca="1" ref="A557" ca="1">IF(INDIRECT("'Student_Record 1'!A" &amp; ROW())="", "", INDIRECT("'Student_Record 1'!A" &amp; ROW()))</f>
        <v/>
      </c>
      <c r="B557" s="8" t="str" cm="1">
        <f t="array" aca="1" ref="B557" ca="1">IF(INDIRECT("'Student_Record 1'!C" &amp; ROW())="", "", INDIRECT("'Student_Record 1'!C" &amp; ROW()))</f>
        <v/>
      </c>
      <c r="C557" s="8" t="str" cm="1">
        <f t="array" aca="1" ref="C557" ca="1">IF(INDIRECT("'Student_Record 1'!E" &amp; ROW())="", "", INDIRECT("'Student_Record 1'!E" &amp; ROW()))</f>
        <v/>
      </c>
      <c r="D557" s="8" t="str" cm="1">
        <f t="array" aca="1" ref="D557" ca="1">IF(INDIRECT("'Student_Record 1'!G" &amp; ROW())="", "", INDIRECT("'Student_Record 1'!G" &amp; ROW()))</f>
        <v/>
      </c>
      <c r="E557" s="8" t="str" cm="1">
        <f t="array" aca="1" ref="E557" ca="1">IF(INDIRECT("'Student_Record 1'!I" &amp; ROW())="", "", INDIRECT("'Student_Record 1'!I" &amp; ROW()))</f>
        <v/>
      </c>
      <c r="F557" s="8" t="str" cm="1">
        <f t="array" aca="1" ref="F557" ca="1">IF(INDIRECT("'Student_Record 1'!O" &amp; ROW())="", "", INDIRECT("'Student_Record 1'!O" &amp; ROW()))</f>
        <v/>
      </c>
      <c r="G557" s="11"/>
      <c r="I557" s="11"/>
      <c r="J557" s="11"/>
      <c r="K557" s="11"/>
      <c r="L557" s="11"/>
      <c r="M557" s="11"/>
      <c r="N557" s="11"/>
      <c r="O557" s="11"/>
      <c r="P557" s="11"/>
      <c r="Q557" s="11"/>
    </row>
    <row r="558" spans="1:17" x14ac:dyDescent="0.25">
      <c r="A558" s="8" t="str" cm="1">
        <f t="array" aca="1" ref="A558" ca="1">IF(INDIRECT("'Student_Record 1'!A" &amp; ROW())="", "", INDIRECT("'Student_Record 1'!A" &amp; ROW()))</f>
        <v/>
      </c>
      <c r="B558" s="8" t="str" cm="1">
        <f t="array" aca="1" ref="B558" ca="1">IF(INDIRECT("'Student_Record 1'!C" &amp; ROW())="", "", INDIRECT("'Student_Record 1'!C" &amp; ROW()))</f>
        <v/>
      </c>
      <c r="C558" s="8" t="str" cm="1">
        <f t="array" aca="1" ref="C558" ca="1">IF(INDIRECT("'Student_Record 1'!E" &amp; ROW())="", "", INDIRECT("'Student_Record 1'!E" &amp; ROW()))</f>
        <v/>
      </c>
      <c r="D558" s="8" t="str" cm="1">
        <f t="array" aca="1" ref="D558" ca="1">IF(INDIRECT("'Student_Record 1'!G" &amp; ROW())="", "", INDIRECT("'Student_Record 1'!G" &amp; ROW()))</f>
        <v/>
      </c>
      <c r="E558" s="8" t="str" cm="1">
        <f t="array" aca="1" ref="E558" ca="1">IF(INDIRECT("'Student_Record 1'!I" &amp; ROW())="", "", INDIRECT("'Student_Record 1'!I" &amp; ROW()))</f>
        <v/>
      </c>
      <c r="F558" s="8" t="str" cm="1">
        <f t="array" aca="1" ref="F558" ca="1">IF(INDIRECT("'Student_Record 1'!O" &amp; ROW())="", "", INDIRECT("'Student_Record 1'!O" &amp; ROW()))</f>
        <v/>
      </c>
      <c r="G558" s="11"/>
      <c r="I558" s="11"/>
      <c r="J558" s="11"/>
      <c r="K558" s="11"/>
      <c r="L558" s="11"/>
      <c r="M558" s="11"/>
      <c r="N558" s="11"/>
      <c r="O558" s="11"/>
      <c r="P558" s="11"/>
      <c r="Q558" s="11"/>
    </row>
    <row r="559" spans="1:17" x14ac:dyDescent="0.25">
      <c r="A559" s="8" t="str" cm="1">
        <f t="array" aca="1" ref="A559" ca="1">IF(INDIRECT("'Student_Record 1'!A" &amp; ROW())="", "", INDIRECT("'Student_Record 1'!A" &amp; ROW()))</f>
        <v/>
      </c>
      <c r="B559" s="8" t="str" cm="1">
        <f t="array" aca="1" ref="B559" ca="1">IF(INDIRECT("'Student_Record 1'!C" &amp; ROW())="", "", INDIRECT("'Student_Record 1'!C" &amp; ROW()))</f>
        <v/>
      </c>
      <c r="C559" s="8" t="str" cm="1">
        <f t="array" aca="1" ref="C559" ca="1">IF(INDIRECT("'Student_Record 1'!E" &amp; ROW())="", "", INDIRECT("'Student_Record 1'!E" &amp; ROW()))</f>
        <v/>
      </c>
      <c r="D559" s="8" t="str" cm="1">
        <f t="array" aca="1" ref="D559" ca="1">IF(INDIRECT("'Student_Record 1'!G" &amp; ROW())="", "", INDIRECT("'Student_Record 1'!G" &amp; ROW()))</f>
        <v/>
      </c>
      <c r="E559" s="8" t="str" cm="1">
        <f t="array" aca="1" ref="E559" ca="1">IF(INDIRECT("'Student_Record 1'!I" &amp; ROW())="", "", INDIRECT("'Student_Record 1'!I" &amp; ROW()))</f>
        <v/>
      </c>
      <c r="F559" s="8" t="str" cm="1">
        <f t="array" aca="1" ref="F559" ca="1">IF(INDIRECT("'Student_Record 1'!O" &amp; ROW())="", "", INDIRECT("'Student_Record 1'!O" &amp; ROW()))</f>
        <v/>
      </c>
      <c r="G559" s="11"/>
      <c r="I559" s="11"/>
      <c r="J559" s="11"/>
      <c r="K559" s="11"/>
      <c r="L559" s="11"/>
      <c r="M559" s="11"/>
      <c r="N559" s="11"/>
      <c r="O559" s="11"/>
      <c r="P559" s="11"/>
      <c r="Q559" s="11"/>
    </row>
    <row r="560" spans="1:17" x14ac:dyDescent="0.25">
      <c r="A560" s="8" t="str" cm="1">
        <f t="array" aca="1" ref="A560" ca="1">IF(INDIRECT("'Student_Record 1'!A" &amp; ROW())="", "", INDIRECT("'Student_Record 1'!A" &amp; ROW()))</f>
        <v/>
      </c>
      <c r="B560" s="8" t="str" cm="1">
        <f t="array" aca="1" ref="B560" ca="1">IF(INDIRECT("'Student_Record 1'!C" &amp; ROW())="", "", INDIRECT("'Student_Record 1'!C" &amp; ROW()))</f>
        <v/>
      </c>
      <c r="C560" s="8" t="str" cm="1">
        <f t="array" aca="1" ref="C560" ca="1">IF(INDIRECT("'Student_Record 1'!E" &amp; ROW())="", "", INDIRECT("'Student_Record 1'!E" &amp; ROW()))</f>
        <v/>
      </c>
      <c r="D560" s="8" t="str" cm="1">
        <f t="array" aca="1" ref="D560" ca="1">IF(INDIRECT("'Student_Record 1'!G" &amp; ROW())="", "", INDIRECT("'Student_Record 1'!G" &amp; ROW()))</f>
        <v/>
      </c>
      <c r="E560" s="8" t="str" cm="1">
        <f t="array" aca="1" ref="E560" ca="1">IF(INDIRECT("'Student_Record 1'!I" &amp; ROW())="", "", INDIRECT("'Student_Record 1'!I" &amp; ROW()))</f>
        <v/>
      </c>
      <c r="F560" s="8" t="str" cm="1">
        <f t="array" aca="1" ref="F560" ca="1">IF(INDIRECT("'Student_Record 1'!O" &amp; ROW())="", "", INDIRECT("'Student_Record 1'!O" &amp; ROW()))</f>
        <v/>
      </c>
      <c r="G560" s="11"/>
      <c r="I560" s="11"/>
      <c r="J560" s="11"/>
      <c r="K560" s="11"/>
      <c r="L560" s="11"/>
      <c r="M560" s="11"/>
      <c r="N560" s="11"/>
      <c r="O560" s="11"/>
      <c r="P560" s="11"/>
      <c r="Q560" s="11"/>
    </row>
    <row r="561" spans="1:17" x14ac:dyDescent="0.25">
      <c r="A561" s="8" t="str" cm="1">
        <f t="array" aca="1" ref="A561" ca="1">IF(INDIRECT("'Student_Record 1'!A" &amp; ROW())="", "", INDIRECT("'Student_Record 1'!A" &amp; ROW()))</f>
        <v/>
      </c>
      <c r="B561" s="8" t="str" cm="1">
        <f t="array" aca="1" ref="B561" ca="1">IF(INDIRECT("'Student_Record 1'!C" &amp; ROW())="", "", INDIRECT("'Student_Record 1'!C" &amp; ROW()))</f>
        <v/>
      </c>
      <c r="C561" s="8" t="str" cm="1">
        <f t="array" aca="1" ref="C561" ca="1">IF(INDIRECT("'Student_Record 1'!E" &amp; ROW())="", "", INDIRECT("'Student_Record 1'!E" &amp; ROW()))</f>
        <v/>
      </c>
      <c r="D561" s="8" t="str" cm="1">
        <f t="array" aca="1" ref="D561" ca="1">IF(INDIRECT("'Student_Record 1'!G" &amp; ROW())="", "", INDIRECT("'Student_Record 1'!G" &amp; ROW()))</f>
        <v/>
      </c>
      <c r="E561" s="8" t="str" cm="1">
        <f t="array" aca="1" ref="E561" ca="1">IF(INDIRECT("'Student_Record 1'!I" &amp; ROW())="", "", INDIRECT("'Student_Record 1'!I" &amp; ROW()))</f>
        <v/>
      </c>
      <c r="F561" s="8" t="str" cm="1">
        <f t="array" aca="1" ref="F561" ca="1">IF(INDIRECT("'Student_Record 1'!O" &amp; ROW())="", "", INDIRECT("'Student_Record 1'!O" &amp; ROW()))</f>
        <v/>
      </c>
      <c r="G561" s="11"/>
      <c r="I561" s="11"/>
      <c r="J561" s="11"/>
      <c r="K561" s="11"/>
      <c r="L561" s="11"/>
      <c r="M561" s="11"/>
      <c r="N561" s="11"/>
      <c r="O561" s="11"/>
      <c r="P561" s="11"/>
      <c r="Q561" s="11"/>
    </row>
    <row r="562" spans="1:17" x14ac:dyDescent="0.25">
      <c r="A562" s="8" t="str" cm="1">
        <f t="array" aca="1" ref="A562" ca="1">IF(INDIRECT("'Student_Record 1'!A" &amp; ROW())="", "", INDIRECT("'Student_Record 1'!A" &amp; ROW()))</f>
        <v/>
      </c>
      <c r="B562" s="8" t="str" cm="1">
        <f t="array" aca="1" ref="B562" ca="1">IF(INDIRECT("'Student_Record 1'!C" &amp; ROW())="", "", INDIRECT("'Student_Record 1'!C" &amp; ROW()))</f>
        <v/>
      </c>
      <c r="C562" s="8" t="str" cm="1">
        <f t="array" aca="1" ref="C562" ca="1">IF(INDIRECT("'Student_Record 1'!E" &amp; ROW())="", "", INDIRECT("'Student_Record 1'!E" &amp; ROW()))</f>
        <v/>
      </c>
      <c r="D562" s="8" t="str" cm="1">
        <f t="array" aca="1" ref="D562" ca="1">IF(INDIRECT("'Student_Record 1'!G" &amp; ROW())="", "", INDIRECT("'Student_Record 1'!G" &amp; ROW()))</f>
        <v/>
      </c>
      <c r="E562" s="8" t="str" cm="1">
        <f t="array" aca="1" ref="E562" ca="1">IF(INDIRECT("'Student_Record 1'!I" &amp; ROW())="", "", INDIRECT("'Student_Record 1'!I" &amp; ROW()))</f>
        <v/>
      </c>
      <c r="F562" s="8" t="str" cm="1">
        <f t="array" aca="1" ref="F562" ca="1">IF(INDIRECT("'Student_Record 1'!O" &amp; ROW())="", "", INDIRECT("'Student_Record 1'!O" &amp; ROW()))</f>
        <v/>
      </c>
      <c r="G562" s="11"/>
      <c r="I562" s="11"/>
      <c r="J562" s="11"/>
      <c r="K562" s="11"/>
      <c r="L562" s="11"/>
      <c r="M562" s="11"/>
      <c r="N562" s="11"/>
      <c r="O562" s="11"/>
      <c r="P562" s="11"/>
      <c r="Q562" s="11"/>
    </row>
    <row r="563" spans="1:17" x14ac:dyDescent="0.25">
      <c r="A563" s="8" t="str" cm="1">
        <f t="array" aca="1" ref="A563" ca="1">IF(INDIRECT("'Student_Record 1'!A" &amp; ROW())="", "", INDIRECT("'Student_Record 1'!A" &amp; ROW()))</f>
        <v/>
      </c>
      <c r="B563" s="8" t="str" cm="1">
        <f t="array" aca="1" ref="B563" ca="1">IF(INDIRECT("'Student_Record 1'!C" &amp; ROW())="", "", INDIRECT("'Student_Record 1'!C" &amp; ROW()))</f>
        <v/>
      </c>
      <c r="C563" s="8" t="str" cm="1">
        <f t="array" aca="1" ref="C563" ca="1">IF(INDIRECT("'Student_Record 1'!E" &amp; ROW())="", "", INDIRECT("'Student_Record 1'!E" &amp; ROW()))</f>
        <v/>
      </c>
      <c r="D563" s="8" t="str" cm="1">
        <f t="array" aca="1" ref="D563" ca="1">IF(INDIRECT("'Student_Record 1'!G" &amp; ROW())="", "", INDIRECT("'Student_Record 1'!G" &amp; ROW()))</f>
        <v/>
      </c>
      <c r="E563" s="8" t="str" cm="1">
        <f t="array" aca="1" ref="E563" ca="1">IF(INDIRECT("'Student_Record 1'!I" &amp; ROW())="", "", INDIRECT("'Student_Record 1'!I" &amp; ROW()))</f>
        <v/>
      </c>
      <c r="F563" s="8" t="str" cm="1">
        <f t="array" aca="1" ref="F563" ca="1">IF(INDIRECT("'Student_Record 1'!O" &amp; ROW())="", "", INDIRECT("'Student_Record 1'!O" &amp; ROW()))</f>
        <v/>
      </c>
      <c r="G563" s="11"/>
      <c r="I563" s="11"/>
      <c r="J563" s="11"/>
      <c r="K563" s="11"/>
      <c r="L563" s="11"/>
      <c r="M563" s="11"/>
      <c r="N563" s="11"/>
      <c r="O563" s="11"/>
      <c r="P563" s="11"/>
      <c r="Q563" s="11"/>
    </row>
    <row r="564" spans="1:17" x14ac:dyDescent="0.25">
      <c r="A564" s="8" t="str" cm="1">
        <f t="array" aca="1" ref="A564" ca="1">IF(INDIRECT("'Student_Record 1'!A" &amp; ROW())="", "", INDIRECT("'Student_Record 1'!A" &amp; ROW()))</f>
        <v/>
      </c>
      <c r="B564" s="8" t="str" cm="1">
        <f t="array" aca="1" ref="B564" ca="1">IF(INDIRECT("'Student_Record 1'!C" &amp; ROW())="", "", INDIRECT("'Student_Record 1'!C" &amp; ROW()))</f>
        <v/>
      </c>
      <c r="C564" s="8" t="str" cm="1">
        <f t="array" aca="1" ref="C564" ca="1">IF(INDIRECT("'Student_Record 1'!E" &amp; ROW())="", "", INDIRECT("'Student_Record 1'!E" &amp; ROW()))</f>
        <v/>
      </c>
      <c r="D564" s="8" t="str" cm="1">
        <f t="array" aca="1" ref="D564" ca="1">IF(INDIRECT("'Student_Record 1'!G" &amp; ROW())="", "", INDIRECT("'Student_Record 1'!G" &amp; ROW()))</f>
        <v/>
      </c>
      <c r="E564" s="8" t="str" cm="1">
        <f t="array" aca="1" ref="E564" ca="1">IF(INDIRECT("'Student_Record 1'!I" &amp; ROW())="", "", INDIRECT("'Student_Record 1'!I" &amp; ROW()))</f>
        <v/>
      </c>
      <c r="F564" s="8" t="str" cm="1">
        <f t="array" aca="1" ref="F564" ca="1">IF(INDIRECT("'Student_Record 1'!O" &amp; ROW())="", "", INDIRECT("'Student_Record 1'!O" &amp; ROW()))</f>
        <v/>
      </c>
      <c r="G564" s="11"/>
      <c r="I564" s="11"/>
      <c r="J564" s="11"/>
      <c r="K564" s="11"/>
      <c r="L564" s="11"/>
      <c r="M564" s="11"/>
      <c r="N564" s="11"/>
      <c r="O564" s="11"/>
      <c r="P564" s="11"/>
      <c r="Q564" s="11"/>
    </row>
    <row r="565" spans="1:17" x14ac:dyDescent="0.25">
      <c r="A565" s="8" t="str" cm="1">
        <f t="array" aca="1" ref="A565" ca="1">IF(INDIRECT("'Student_Record 1'!A" &amp; ROW())="", "", INDIRECT("'Student_Record 1'!A" &amp; ROW()))</f>
        <v/>
      </c>
      <c r="B565" s="8" t="str" cm="1">
        <f t="array" aca="1" ref="B565" ca="1">IF(INDIRECT("'Student_Record 1'!C" &amp; ROW())="", "", INDIRECT("'Student_Record 1'!C" &amp; ROW()))</f>
        <v/>
      </c>
      <c r="C565" s="8" t="str" cm="1">
        <f t="array" aca="1" ref="C565" ca="1">IF(INDIRECT("'Student_Record 1'!E" &amp; ROW())="", "", INDIRECT("'Student_Record 1'!E" &amp; ROW()))</f>
        <v/>
      </c>
      <c r="D565" s="8" t="str" cm="1">
        <f t="array" aca="1" ref="D565" ca="1">IF(INDIRECT("'Student_Record 1'!G" &amp; ROW())="", "", INDIRECT("'Student_Record 1'!G" &amp; ROW()))</f>
        <v/>
      </c>
      <c r="E565" s="8" t="str" cm="1">
        <f t="array" aca="1" ref="E565" ca="1">IF(INDIRECT("'Student_Record 1'!I" &amp; ROW())="", "", INDIRECT("'Student_Record 1'!I" &amp; ROW()))</f>
        <v/>
      </c>
      <c r="F565" s="8" t="str" cm="1">
        <f t="array" aca="1" ref="F565" ca="1">IF(INDIRECT("'Student_Record 1'!O" &amp; ROW())="", "", INDIRECT("'Student_Record 1'!O" &amp; ROW()))</f>
        <v/>
      </c>
      <c r="G565" s="11"/>
      <c r="I565" s="11"/>
      <c r="J565" s="11"/>
      <c r="K565" s="11"/>
      <c r="L565" s="11"/>
      <c r="M565" s="11"/>
      <c r="N565" s="11"/>
      <c r="O565" s="11"/>
      <c r="P565" s="11"/>
      <c r="Q565" s="11"/>
    </row>
    <row r="566" spans="1:17" x14ac:dyDescent="0.25">
      <c r="A566" s="8" t="str" cm="1">
        <f t="array" aca="1" ref="A566" ca="1">IF(INDIRECT("'Student_Record 1'!A" &amp; ROW())="", "", INDIRECT("'Student_Record 1'!A" &amp; ROW()))</f>
        <v/>
      </c>
      <c r="B566" s="8" t="str" cm="1">
        <f t="array" aca="1" ref="B566" ca="1">IF(INDIRECT("'Student_Record 1'!C" &amp; ROW())="", "", INDIRECT("'Student_Record 1'!C" &amp; ROW()))</f>
        <v/>
      </c>
      <c r="C566" s="8" t="str" cm="1">
        <f t="array" aca="1" ref="C566" ca="1">IF(INDIRECT("'Student_Record 1'!E" &amp; ROW())="", "", INDIRECT("'Student_Record 1'!E" &amp; ROW()))</f>
        <v/>
      </c>
      <c r="D566" s="8" t="str" cm="1">
        <f t="array" aca="1" ref="D566" ca="1">IF(INDIRECT("'Student_Record 1'!G" &amp; ROW())="", "", INDIRECT("'Student_Record 1'!G" &amp; ROW()))</f>
        <v/>
      </c>
      <c r="E566" s="8" t="str" cm="1">
        <f t="array" aca="1" ref="E566" ca="1">IF(INDIRECT("'Student_Record 1'!I" &amp; ROW())="", "", INDIRECT("'Student_Record 1'!I" &amp; ROW()))</f>
        <v/>
      </c>
      <c r="F566" s="8" t="str" cm="1">
        <f t="array" aca="1" ref="F566" ca="1">IF(INDIRECT("'Student_Record 1'!O" &amp; ROW())="", "", INDIRECT("'Student_Record 1'!O" &amp; ROW()))</f>
        <v/>
      </c>
      <c r="G566" s="11"/>
      <c r="I566" s="11"/>
      <c r="J566" s="11"/>
      <c r="K566" s="11"/>
      <c r="L566" s="11"/>
      <c r="M566" s="11"/>
      <c r="N566" s="11"/>
      <c r="O566" s="11"/>
      <c r="P566" s="11"/>
      <c r="Q566" s="11"/>
    </row>
    <row r="567" spans="1:17" x14ac:dyDescent="0.25">
      <c r="A567" s="8" t="str" cm="1">
        <f t="array" aca="1" ref="A567" ca="1">IF(INDIRECT("'Student_Record 1'!A" &amp; ROW())="", "", INDIRECT("'Student_Record 1'!A" &amp; ROW()))</f>
        <v/>
      </c>
      <c r="B567" s="8" t="str" cm="1">
        <f t="array" aca="1" ref="B567" ca="1">IF(INDIRECT("'Student_Record 1'!C" &amp; ROW())="", "", INDIRECT("'Student_Record 1'!C" &amp; ROW()))</f>
        <v/>
      </c>
      <c r="C567" s="8" t="str" cm="1">
        <f t="array" aca="1" ref="C567" ca="1">IF(INDIRECT("'Student_Record 1'!E" &amp; ROW())="", "", INDIRECT("'Student_Record 1'!E" &amp; ROW()))</f>
        <v/>
      </c>
      <c r="D567" s="8" t="str" cm="1">
        <f t="array" aca="1" ref="D567" ca="1">IF(INDIRECT("'Student_Record 1'!G" &amp; ROW())="", "", INDIRECT("'Student_Record 1'!G" &amp; ROW()))</f>
        <v/>
      </c>
      <c r="E567" s="8" t="str" cm="1">
        <f t="array" aca="1" ref="E567" ca="1">IF(INDIRECT("'Student_Record 1'!I" &amp; ROW())="", "", INDIRECT("'Student_Record 1'!I" &amp; ROW()))</f>
        <v/>
      </c>
      <c r="F567" s="8" t="str" cm="1">
        <f t="array" aca="1" ref="F567" ca="1">IF(INDIRECT("'Student_Record 1'!O" &amp; ROW())="", "", INDIRECT("'Student_Record 1'!O" &amp; ROW()))</f>
        <v/>
      </c>
      <c r="G567" s="11"/>
      <c r="I567" s="11"/>
      <c r="J567" s="11"/>
      <c r="K567" s="11"/>
      <c r="L567" s="11"/>
      <c r="M567" s="11"/>
      <c r="N567" s="11"/>
      <c r="O567" s="11"/>
      <c r="P567" s="11"/>
      <c r="Q567" s="11"/>
    </row>
    <row r="568" spans="1:17" x14ac:dyDescent="0.25">
      <c r="A568" s="8" t="str" cm="1">
        <f t="array" aca="1" ref="A568" ca="1">IF(INDIRECT("'Student_Record 1'!A" &amp; ROW())="", "", INDIRECT("'Student_Record 1'!A" &amp; ROW()))</f>
        <v/>
      </c>
      <c r="B568" s="8" t="str" cm="1">
        <f t="array" aca="1" ref="B568" ca="1">IF(INDIRECT("'Student_Record 1'!C" &amp; ROW())="", "", INDIRECT("'Student_Record 1'!C" &amp; ROW()))</f>
        <v/>
      </c>
      <c r="C568" s="8" t="str" cm="1">
        <f t="array" aca="1" ref="C568" ca="1">IF(INDIRECT("'Student_Record 1'!E" &amp; ROW())="", "", INDIRECT("'Student_Record 1'!E" &amp; ROW()))</f>
        <v/>
      </c>
      <c r="D568" s="8" t="str" cm="1">
        <f t="array" aca="1" ref="D568" ca="1">IF(INDIRECT("'Student_Record 1'!G" &amp; ROW())="", "", INDIRECT("'Student_Record 1'!G" &amp; ROW()))</f>
        <v/>
      </c>
      <c r="E568" s="8" t="str" cm="1">
        <f t="array" aca="1" ref="E568" ca="1">IF(INDIRECT("'Student_Record 1'!I" &amp; ROW())="", "", INDIRECT("'Student_Record 1'!I" &amp; ROW()))</f>
        <v/>
      </c>
      <c r="F568" s="8" t="str" cm="1">
        <f t="array" aca="1" ref="F568" ca="1">IF(INDIRECT("'Student_Record 1'!O" &amp; ROW())="", "", INDIRECT("'Student_Record 1'!O" &amp; ROW()))</f>
        <v/>
      </c>
      <c r="G568" s="11"/>
      <c r="I568" s="11"/>
      <c r="J568" s="11"/>
      <c r="K568" s="11"/>
      <c r="L568" s="11"/>
      <c r="M568" s="11"/>
      <c r="N568" s="11"/>
      <c r="O568" s="11"/>
      <c r="P568" s="11"/>
      <c r="Q568" s="11"/>
    </row>
    <row r="569" spans="1:17" x14ac:dyDescent="0.25">
      <c r="A569" s="8" t="str" cm="1">
        <f t="array" aca="1" ref="A569" ca="1">IF(INDIRECT("'Student_Record 1'!A" &amp; ROW())="", "", INDIRECT("'Student_Record 1'!A" &amp; ROW()))</f>
        <v/>
      </c>
      <c r="B569" s="8" t="str" cm="1">
        <f t="array" aca="1" ref="B569" ca="1">IF(INDIRECT("'Student_Record 1'!C" &amp; ROW())="", "", INDIRECT("'Student_Record 1'!C" &amp; ROW()))</f>
        <v/>
      </c>
      <c r="C569" s="8" t="str" cm="1">
        <f t="array" aca="1" ref="C569" ca="1">IF(INDIRECT("'Student_Record 1'!E" &amp; ROW())="", "", INDIRECT("'Student_Record 1'!E" &amp; ROW()))</f>
        <v/>
      </c>
      <c r="D569" s="8" t="str" cm="1">
        <f t="array" aca="1" ref="D569" ca="1">IF(INDIRECT("'Student_Record 1'!G" &amp; ROW())="", "", INDIRECT("'Student_Record 1'!G" &amp; ROW()))</f>
        <v/>
      </c>
      <c r="E569" s="8" t="str" cm="1">
        <f t="array" aca="1" ref="E569" ca="1">IF(INDIRECT("'Student_Record 1'!I" &amp; ROW())="", "", INDIRECT("'Student_Record 1'!I" &amp; ROW()))</f>
        <v/>
      </c>
      <c r="F569" s="8" t="str" cm="1">
        <f t="array" aca="1" ref="F569" ca="1">IF(INDIRECT("'Student_Record 1'!O" &amp; ROW())="", "", INDIRECT("'Student_Record 1'!O" &amp; ROW()))</f>
        <v/>
      </c>
      <c r="G569" s="11"/>
      <c r="I569" s="11"/>
      <c r="J569" s="11"/>
      <c r="K569" s="11"/>
      <c r="L569" s="11"/>
      <c r="M569" s="11"/>
      <c r="N569" s="11"/>
      <c r="O569" s="11"/>
      <c r="P569" s="11"/>
      <c r="Q569" s="11"/>
    </row>
    <row r="570" spans="1:17" x14ac:dyDescent="0.25">
      <c r="A570" s="8" t="str" cm="1">
        <f t="array" aca="1" ref="A570" ca="1">IF(INDIRECT("'Student_Record 1'!A" &amp; ROW())="", "", INDIRECT("'Student_Record 1'!A" &amp; ROW()))</f>
        <v/>
      </c>
      <c r="B570" s="8" t="str" cm="1">
        <f t="array" aca="1" ref="B570" ca="1">IF(INDIRECT("'Student_Record 1'!C" &amp; ROW())="", "", INDIRECT("'Student_Record 1'!C" &amp; ROW()))</f>
        <v/>
      </c>
      <c r="C570" s="8" t="str" cm="1">
        <f t="array" aca="1" ref="C570" ca="1">IF(INDIRECT("'Student_Record 1'!E" &amp; ROW())="", "", INDIRECT("'Student_Record 1'!E" &amp; ROW()))</f>
        <v/>
      </c>
      <c r="D570" s="8" t="str" cm="1">
        <f t="array" aca="1" ref="D570" ca="1">IF(INDIRECT("'Student_Record 1'!G" &amp; ROW())="", "", INDIRECT("'Student_Record 1'!G" &amp; ROW()))</f>
        <v/>
      </c>
      <c r="E570" s="8" t="str" cm="1">
        <f t="array" aca="1" ref="E570" ca="1">IF(INDIRECT("'Student_Record 1'!I" &amp; ROW())="", "", INDIRECT("'Student_Record 1'!I" &amp; ROW()))</f>
        <v/>
      </c>
      <c r="F570" s="8" t="str" cm="1">
        <f t="array" aca="1" ref="F570" ca="1">IF(INDIRECT("'Student_Record 1'!O" &amp; ROW())="", "", INDIRECT("'Student_Record 1'!O" &amp; ROW()))</f>
        <v/>
      </c>
      <c r="G570" s="11"/>
      <c r="I570" s="11"/>
      <c r="J570" s="11"/>
      <c r="K570" s="11"/>
      <c r="L570" s="11"/>
      <c r="M570" s="11"/>
      <c r="N570" s="11"/>
      <c r="O570" s="11"/>
      <c r="P570" s="11"/>
      <c r="Q570" s="11"/>
    </row>
    <row r="571" spans="1:17" x14ac:dyDescent="0.25">
      <c r="A571" s="8" t="str" cm="1">
        <f t="array" aca="1" ref="A571" ca="1">IF(INDIRECT("'Student_Record 1'!A" &amp; ROW())="", "", INDIRECT("'Student_Record 1'!A" &amp; ROW()))</f>
        <v/>
      </c>
      <c r="B571" s="8" t="str" cm="1">
        <f t="array" aca="1" ref="B571" ca="1">IF(INDIRECT("'Student_Record 1'!C" &amp; ROW())="", "", INDIRECT("'Student_Record 1'!C" &amp; ROW()))</f>
        <v/>
      </c>
      <c r="C571" s="8" t="str" cm="1">
        <f t="array" aca="1" ref="C571" ca="1">IF(INDIRECT("'Student_Record 1'!E" &amp; ROW())="", "", INDIRECT("'Student_Record 1'!E" &amp; ROW()))</f>
        <v/>
      </c>
      <c r="D571" s="8" t="str" cm="1">
        <f t="array" aca="1" ref="D571" ca="1">IF(INDIRECT("'Student_Record 1'!G" &amp; ROW())="", "", INDIRECT("'Student_Record 1'!G" &amp; ROW()))</f>
        <v/>
      </c>
      <c r="E571" s="8" t="str" cm="1">
        <f t="array" aca="1" ref="E571" ca="1">IF(INDIRECT("'Student_Record 1'!I" &amp; ROW())="", "", INDIRECT("'Student_Record 1'!I" &amp; ROW()))</f>
        <v/>
      </c>
      <c r="F571" s="8" t="str" cm="1">
        <f t="array" aca="1" ref="F571" ca="1">IF(INDIRECT("'Student_Record 1'!O" &amp; ROW())="", "", INDIRECT("'Student_Record 1'!O" &amp; ROW()))</f>
        <v/>
      </c>
      <c r="G571" s="11"/>
      <c r="I571" s="11"/>
      <c r="J571" s="11"/>
      <c r="K571" s="11"/>
      <c r="L571" s="11"/>
      <c r="M571" s="11"/>
      <c r="N571" s="11"/>
      <c r="O571" s="11"/>
      <c r="P571" s="11"/>
      <c r="Q571" s="11"/>
    </row>
    <row r="572" spans="1:17" x14ac:dyDescent="0.25">
      <c r="A572" s="8" t="str" cm="1">
        <f t="array" aca="1" ref="A572" ca="1">IF(INDIRECT("'Student_Record 1'!A" &amp; ROW())="", "", INDIRECT("'Student_Record 1'!A" &amp; ROW()))</f>
        <v/>
      </c>
      <c r="B572" s="8" t="str" cm="1">
        <f t="array" aca="1" ref="B572" ca="1">IF(INDIRECT("'Student_Record 1'!C" &amp; ROW())="", "", INDIRECT("'Student_Record 1'!C" &amp; ROW()))</f>
        <v/>
      </c>
      <c r="C572" s="8" t="str" cm="1">
        <f t="array" aca="1" ref="C572" ca="1">IF(INDIRECT("'Student_Record 1'!E" &amp; ROW())="", "", INDIRECT("'Student_Record 1'!E" &amp; ROW()))</f>
        <v/>
      </c>
      <c r="D572" s="8" t="str" cm="1">
        <f t="array" aca="1" ref="D572" ca="1">IF(INDIRECT("'Student_Record 1'!G" &amp; ROW())="", "", INDIRECT("'Student_Record 1'!G" &amp; ROW()))</f>
        <v/>
      </c>
      <c r="E572" s="8" t="str" cm="1">
        <f t="array" aca="1" ref="E572" ca="1">IF(INDIRECT("'Student_Record 1'!I" &amp; ROW())="", "", INDIRECT("'Student_Record 1'!I" &amp; ROW()))</f>
        <v/>
      </c>
      <c r="F572" s="8" t="str" cm="1">
        <f t="array" aca="1" ref="F572" ca="1">IF(INDIRECT("'Student_Record 1'!O" &amp; ROW())="", "", INDIRECT("'Student_Record 1'!O" &amp; ROW()))</f>
        <v/>
      </c>
      <c r="G572" s="11"/>
      <c r="I572" s="11"/>
      <c r="J572" s="11"/>
      <c r="K572" s="11"/>
      <c r="L572" s="11"/>
      <c r="M572" s="11"/>
      <c r="N572" s="11"/>
      <c r="O572" s="11"/>
      <c r="P572" s="11"/>
      <c r="Q572" s="11"/>
    </row>
    <row r="573" spans="1:17" x14ac:dyDescent="0.25">
      <c r="A573" s="8" t="str" cm="1">
        <f t="array" aca="1" ref="A573" ca="1">IF(INDIRECT("'Student_Record 1'!A" &amp; ROW())="", "", INDIRECT("'Student_Record 1'!A" &amp; ROW()))</f>
        <v/>
      </c>
      <c r="B573" s="8" t="str" cm="1">
        <f t="array" aca="1" ref="B573" ca="1">IF(INDIRECT("'Student_Record 1'!C" &amp; ROW())="", "", INDIRECT("'Student_Record 1'!C" &amp; ROW()))</f>
        <v/>
      </c>
      <c r="C573" s="8" t="str" cm="1">
        <f t="array" aca="1" ref="C573" ca="1">IF(INDIRECT("'Student_Record 1'!E" &amp; ROW())="", "", INDIRECT("'Student_Record 1'!E" &amp; ROW()))</f>
        <v/>
      </c>
      <c r="D573" s="8" t="str" cm="1">
        <f t="array" aca="1" ref="D573" ca="1">IF(INDIRECT("'Student_Record 1'!G" &amp; ROW())="", "", INDIRECT("'Student_Record 1'!G" &amp; ROW()))</f>
        <v/>
      </c>
      <c r="E573" s="8" t="str" cm="1">
        <f t="array" aca="1" ref="E573" ca="1">IF(INDIRECT("'Student_Record 1'!I" &amp; ROW())="", "", INDIRECT("'Student_Record 1'!I" &amp; ROW()))</f>
        <v/>
      </c>
      <c r="F573" s="8" t="str" cm="1">
        <f t="array" aca="1" ref="F573" ca="1">IF(INDIRECT("'Student_Record 1'!O" &amp; ROW())="", "", INDIRECT("'Student_Record 1'!O" &amp; ROW()))</f>
        <v/>
      </c>
      <c r="G573" s="11"/>
      <c r="I573" s="11"/>
      <c r="J573" s="11"/>
      <c r="K573" s="11"/>
      <c r="L573" s="11"/>
      <c r="M573" s="11"/>
      <c r="N573" s="11"/>
      <c r="O573" s="11"/>
      <c r="P573" s="11"/>
      <c r="Q573" s="11"/>
    </row>
    <row r="574" spans="1:17" x14ac:dyDescent="0.25">
      <c r="A574" s="8" t="str" cm="1">
        <f t="array" aca="1" ref="A574" ca="1">IF(INDIRECT("'Student_Record 1'!A" &amp; ROW())="", "", INDIRECT("'Student_Record 1'!A" &amp; ROW()))</f>
        <v/>
      </c>
      <c r="B574" s="8" t="str" cm="1">
        <f t="array" aca="1" ref="B574" ca="1">IF(INDIRECT("'Student_Record 1'!C" &amp; ROW())="", "", INDIRECT("'Student_Record 1'!C" &amp; ROW()))</f>
        <v/>
      </c>
      <c r="C574" s="8" t="str" cm="1">
        <f t="array" aca="1" ref="C574" ca="1">IF(INDIRECT("'Student_Record 1'!E" &amp; ROW())="", "", INDIRECT("'Student_Record 1'!E" &amp; ROW()))</f>
        <v/>
      </c>
      <c r="D574" s="8" t="str" cm="1">
        <f t="array" aca="1" ref="D574" ca="1">IF(INDIRECT("'Student_Record 1'!G" &amp; ROW())="", "", INDIRECT("'Student_Record 1'!G" &amp; ROW()))</f>
        <v/>
      </c>
      <c r="E574" s="8" t="str" cm="1">
        <f t="array" aca="1" ref="E574" ca="1">IF(INDIRECT("'Student_Record 1'!I" &amp; ROW())="", "", INDIRECT("'Student_Record 1'!I" &amp; ROW()))</f>
        <v/>
      </c>
      <c r="F574" s="8" t="str" cm="1">
        <f t="array" aca="1" ref="F574" ca="1">IF(INDIRECT("'Student_Record 1'!O" &amp; ROW())="", "", INDIRECT("'Student_Record 1'!O" &amp; ROW()))</f>
        <v/>
      </c>
      <c r="G574" s="11"/>
      <c r="I574" s="11"/>
      <c r="J574" s="11"/>
      <c r="K574" s="11"/>
      <c r="L574" s="11"/>
      <c r="M574" s="11"/>
      <c r="N574" s="11"/>
      <c r="O574" s="11"/>
      <c r="P574" s="11"/>
      <c r="Q574" s="11"/>
    </row>
    <row r="575" spans="1:17" x14ac:dyDescent="0.25">
      <c r="A575" s="8" t="str" cm="1">
        <f t="array" aca="1" ref="A575" ca="1">IF(INDIRECT("'Student_Record 1'!A" &amp; ROW())="", "", INDIRECT("'Student_Record 1'!A" &amp; ROW()))</f>
        <v/>
      </c>
      <c r="B575" s="8" t="str" cm="1">
        <f t="array" aca="1" ref="B575" ca="1">IF(INDIRECT("'Student_Record 1'!C" &amp; ROW())="", "", INDIRECT("'Student_Record 1'!C" &amp; ROW()))</f>
        <v/>
      </c>
      <c r="C575" s="8" t="str" cm="1">
        <f t="array" aca="1" ref="C575" ca="1">IF(INDIRECT("'Student_Record 1'!E" &amp; ROW())="", "", INDIRECT("'Student_Record 1'!E" &amp; ROW()))</f>
        <v/>
      </c>
      <c r="D575" s="8" t="str" cm="1">
        <f t="array" aca="1" ref="D575" ca="1">IF(INDIRECT("'Student_Record 1'!G" &amp; ROW())="", "", INDIRECT("'Student_Record 1'!G" &amp; ROW()))</f>
        <v/>
      </c>
      <c r="E575" s="8" t="str" cm="1">
        <f t="array" aca="1" ref="E575" ca="1">IF(INDIRECT("'Student_Record 1'!I" &amp; ROW())="", "", INDIRECT("'Student_Record 1'!I" &amp; ROW()))</f>
        <v/>
      </c>
      <c r="F575" s="8" t="str" cm="1">
        <f t="array" aca="1" ref="F575" ca="1">IF(INDIRECT("'Student_Record 1'!O" &amp; ROW())="", "", INDIRECT("'Student_Record 1'!O" &amp; ROW()))</f>
        <v/>
      </c>
      <c r="G575" s="11"/>
      <c r="I575" s="11"/>
      <c r="J575" s="11"/>
      <c r="K575" s="11"/>
      <c r="L575" s="11"/>
      <c r="M575" s="11"/>
      <c r="N575" s="11"/>
      <c r="O575" s="11"/>
      <c r="P575" s="11"/>
      <c r="Q575" s="11"/>
    </row>
    <row r="576" spans="1:17" x14ac:dyDescent="0.25">
      <c r="A576" s="8" t="str" cm="1">
        <f t="array" aca="1" ref="A576" ca="1">IF(INDIRECT("'Student_Record 1'!A" &amp; ROW())="", "", INDIRECT("'Student_Record 1'!A" &amp; ROW()))</f>
        <v/>
      </c>
      <c r="B576" s="8" t="str" cm="1">
        <f t="array" aca="1" ref="B576" ca="1">IF(INDIRECT("'Student_Record 1'!C" &amp; ROW())="", "", INDIRECT("'Student_Record 1'!C" &amp; ROW()))</f>
        <v/>
      </c>
      <c r="C576" s="8" t="str" cm="1">
        <f t="array" aca="1" ref="C576" ca="1">IF(INDIRECT("'Student_Record 1'!E" &amp; ROW())="", "", INDIRECT("'Student_Record 1'!E" &amp; ROW()))</f>
        <v/>
      </c>
      <c r="D576" s="8" t="str" cm="1">
        <f t="array" aca="1" ref="D576" ca="1">IF(INDIRECT("'Student_Record 1'!G" &amp; ROW())="", "", INDIRECT("'Student_Record 1'!G" &amp; ROW()))</f>
        <v/>
      </c>
      <c r="E576" s="8" t="str" cm="1">
        <f t="array" aca="1" ref="E576" ca="1">IF(INDIRECT("'Student_Record 1'!I" &amp; ROW())="", "", INDIRECT("'Student_Record 1'!I" &amp; ROW()))</f>
        <v/>
      </c>
      <c r="F576" s="8" t="str" cm="1">
        <f t="array" aca="1" ref="F576" ca="1">IF(INDIRECT("'Student_Record 1'!O" &amp; ROW())="", "", INDIRECT("'Student_Record 1'!O" &amp; ROW()))</f>
        <v/>
      </c>
      <c r="G576" s="11"/>
      <c r="I576" s="11"/>
      <c r="J576" s="11"/>
      <c r="K576" s="11"/>
      <c r="L576" s="11"/>
      <c r="M576" s="11"/>
      <c r="N576" s="11"/>
      <c r="O576" s="11"/>
      <c r="P576" s="11"/>
      <c r="Q576" s="11"/>
    </row>
    <row r="577" spans="1:17" x14ac:dyDescent="0.25">
      <c r="A577" s="8" t="str" cm="1">
        <f t="array" aca="1" ref="A577" ca="1">IF(INDIRECT("'Student_Record 1'!A" &amp; ROW())="", "", INDIRECT("'Student_Record 1'!A" &amp; ROW()))</f>
        <v/>
      </c>
      <c r="B577" s="8" t="str" cm="1">
        <f t="array" aca="1" ref="B577" ca="1">IF(INDIRECT("'Student_Record 1'!C" &amp; ROW())="", "", INDIRECT("'Student_Record 1'!C" &amp; ROW()))</f>
        <v/>
      </c>
      <c r="C577" s="8" t="str" cm="1">
        <f t="array" aca="1" ref="C577" ca="1">IF(INDIRECT("'Student_Record 1'!E" &amp; ROW())="", "", INDIRECT("'Student_Record 1'!E" &amp; ROW()))</f>
        <v/>
      </c>
      <c r="D577" s="8" t="str" cm="1">
        <f t="array" aca="1" ref="D577" ca="1">IF(INDIRECT("'Student_Record 1'!G" &amp; ROW())="", "", INDIRECT("'Student_Record 1'!G" &amp; ROW()))</f>
        <v/>
      </c>
      <c r="E577" s="8" t="str" cm="1">
        <f t="array" aca="1" ref="E577" ca="1">IF(INDIRECT("'Student_Record 1'!I" &amp; ROW())="", "", INDIRECT("'Student_Record 1'!I" &amp; ROW()))</f>
        <v/>
      </c>
      <c r="F577" s="8" t="str" cm="1">
        <f t="array" aca="1" ref="F577" ca="1">IF(INDIRECT("'Student_Record 1'!O" &amp; ROW())="", "", INDIRECT("'Student_Record 1'!O" &amp; ROW()))</f>
        <v/>
      </c>
      <c r="G577" s="11"/>
      <c r="I577" s="11"/>
      <c r="J577" s="11"/>
      <c r="K577" s="11"/>
      <c r="L577" s="11"/>
      <c r="M577" s="11"/>
      <c r="N577" s="11"/>
      <c r="O577" s="11"/>
      <c r="P577" s="11"/>
      <c r="Q577" s="11"/>
    </row>
    <row r="578" spans="1:17" x14ac:dyDescent="0.25">
      <c r="A578" s="8" t="str" cm="1">
        <f t="array" aca="1" ref="A578" ca="1">IF(INDIRECT("'Student_Record 1'!A" &amp; ROW())="", "", INDIRECT("'Student_Record 1'!A" &amp; ROW()))</f>
        <v/>
      </c>
      <c r="B578" s="8" t="str" cm="1">
        <f t="array" aca="1" ref="B578" ca="1">IF(INDIRECT("'Student_Record 1'!C" &amp; ROW())="", "", INDIRECT("'Student_Record 1'!C" &amp; ROW()))</f>
        <v/>
      </c>
      <c r="C578" s="8" t="str" cm="1">
        <f t="array" aca="1" ref="C578" ca="1">IF(INDIRECT("'Student_Record 1'!E" &amp; ROW())="", "", INDIRECT("'Student_Record 1'!E" &amp; ROW()))</f>
        <v/>
      </c>
      <c r="D578" s="8" t="str" cm="1">
        <f t="array" aca="1" ref="D578" ca="1">IF(INDIRECT("'Student_Record 1'!G" &amp; ROW())="", "", INDIRECT("'Student_Record 1'!G" &amp; ROW()))</f>
        <v/>
      </c>
      <c r="E578" s="8" t="str" cm="1">
        <f t="array" aca="1" ref="E578" ca="1">IF(INDIRECT("'Student_Record 1'!I" &amp; ROW())="", "", INDIRECT("'Student_Record 1'!I" &amp; ROW()))</f>
        <v/>
      </c>
      <c r="F578" s="8" t="str" cm="1">
        <f t="array" aca="1" ref="F578" ca="1">IF(INDIRECT("'Student_Record 1'!O" &amp; ROW())="", "", INDIRECT("'Student_Record 1'!O" &amp; ROW()))</f>
        <v/>
      </c>
      <c r="G578" s="11"/>
      <c r="I578" s="11"/>
      <c r="J578" s="11"/>
      <c r="K578" s="11"/>
      <c r="L578" s="11"/>
      <c r="M578" s="11"/>
      <c r="N578" s="11"/>
      <c r="O578" s="11"/>
      <c r="P578" s="11"/>
      <c r="Q578" s="11"/>
    </row>
    <row r="579" spans="1:17" x14ac:dyDescent="0.25">
      <c r="A579" s="8" t="str" cm="1">
        <f t="array" aca="1" ref="A579" ca="1">IF(INDIRECT("'Student_Record 1'!A" &amp; ROW())="", "", INDIRECT("'Student_Record 1'!A" &amp; ROW()))</f>
        <v/>
      </c>
      <c r="B579" s="8" t="str" cm="1">
        <f t="array" aca="1" ref="B579" ca="1">IF(INDIRECT("'Student_Record 1'!C" &amp; ROW())="", "", INDIRECT("'Student_Record 1'!C" &amp; ROW()))</f>
        <v/>
      </c>
      <c r="C579" s="8" t="str" cm="1">
        <f t="array" aca="1" ref="C579" ca="1">IF(INDIRECT("'Student_Record 1'!E" &amp; ROW())="", "", INDIRECT("'Student_Record 1'!E" &amp; ROW()))</f>
        <v/>
      </c>
      <c r="D579" s="8" t="str" cm="1">
        <f t="array" aca="1" ref="D579" ca="1">IF(INDIRECT("'Student_Record 1'!G" &amp; ROW())="", "", INDIRECT("'Student_Record 1'!G" &amp; ROW()))</f>
        <v/>
      </c>
      <c r="E579" s="8" t="str" cm="1">
        <f t="array" aca="1" ref="E579" ca="1">IF(INDIRECT("'Student_Record 1'!I" &amp; ROW())="", "", INDIRECT("'Student_Record 1'!I" &amp; ROW()))</f>
        <v/>
      </c>
      <c r="F579" s="8" t="str" cm="1">
        <f t="array" aca="1" ref="F579" ca="1">IF(INDIRECT("'Student_Record 1'!O" &amp; ROW())="", "", INDIRECT("'Student_Record 1'!O" &amp; ROW()))</f>
        <v/>
      </c>
      <c r="G579" s="11"/>
      <c r="I579" s="11"/>
      <c r="J579" s="11"/>
      <c r="K579" s="11"/>
      <c r="L579" s="11"/>
      <c r="M579" s="11"/>
      <c r="N579" s="11"/>
      <c r="O579" s="11"/>
      <c r="P579" s="11"/>
      <c r="Q579" s="11"/>
    </row>
    <row r="580" spans="1:17" x14ac:dyDescent="0.25">
      <c r="A580" s="8" t="str" cm="1">
        <f t="array" aca="1" ref="A580" ca="1">IF(INDIRECT("'Student_Record 1'!A" &amp; ROW())="", "", INDIRECT("'Student_Record 1'!A" &amp; ROW()))</f>
        <v/>
      </c>
      <c r="B580" s="8" t="str" cm="1">
        <f t="array" aca="1" ref="B580" ca="1">IF(INDIRECT("'Student_Record 1'!C" &amp; ROW())="", "", INDIRECT("'Student_Record 1'!C" &amp; ROW()))</f>
        <v/>
      </c>
      <c r="C580" s="8" t="str" cm="1">
        <f t="array" aca="1" ref="C580" ca="1">IF(INDIRECT("'Student_Record 1'!E" &amp; ROW())="", "", INDIRECT("'Student_Record 1'!E" &amp; ROW()))</f>
        <v/>
      </c>
      <c r="D580" s="8" t="str" cm="1">
        <f t="array" aca="1" ref="D580" ca="1">IF(INDIRECT("'Student_Record 1'!G" &amp; ROW())="", "", INDIRECT("'Student_Record 1'!G" &amp; ROW()))</f>
        <v/>
      </c>
      <c r="E580" s="8" t="str" cm="1">
        <f t="array" aca="1" ref="E580" ca="1">IF(INDIRECT("'Student_Record 1'!I" &amp; ROW())="", "", INDIRECT("'Student_Record 1'!I" &amp; ROW()))</f>
        <v/>
      </c>
      <c r="F580" s="8" t="str" cm="1">
        <f t="array" aca="1" ref="F580" ca="1">IF(INDIRECT("'Student_Record 1'!O" &amp; ROW())="", "", INDIRECT("'Student_Record 1'!O" &amp; ROW()))</f>
        <v/>
      </c>
      <c r="G580" s="11"/>
      <c r="I580" s="11"/>
      <c r="J580" s="11"/>
      <c r="K580" s="11"/>
      <c r="L580" s="11"/>
      <c r="M580" s="11"/>
      <c r="N580" s="11"/>
      <c r="O580" s="11"/>
      <c r="P580" s="11"/>
      <c r="Q580" s="11"/>
    </row>
    <row r="581" spans="1:17" x14ac:dyDescent="0.25">
      <c r="A581" s="8" t="str" cm="1">
        <f t="array" aca="1" ref="A581" ca="1">IF(INDIRECT("'Student_Record 1'!A" &amp; ROW())="", "", INDIRECT("'Student_Record 1'!A" &amp; ROW()))</f>
        <v/>
      </c>
      <c r="B581" s="8" t="str" cm="1">
        <f t="array" aca="1" ref="B581" ca="1">IF(INDIRECT("'Student_Record 1'!C" &amp; ROW())="", "", INDIRECT("'Student_Record 1'!C" &amp; ROW()))</f>
        <v/>
      </c>
      <c r="C581" s="8" t="str" cm="1">
        <f t="array" aca="1" ref="C581" ca="1">IF(INDIRECT("'Student_Record 1'!E" &amp; ROW())="", "", INDIRECT("'Student_Record 1'!E" &amp; ROW()))</f>
        <v/>
      </c>
      <c r="D581" s="8" t="str" cm="1">
        <f t="array" aca="1" ref="D581" ca="1">IF(INDIRECT("'Student_Record 1'!G" &amp; ROW())="", "", INDIRECT("'Student_Record 1'!G" &amp; ROW()))</f>
        <v/>
      </c>
      <c r="E581" s="8" t="str" cm="1">
        <f t="array" aca="1" ref="E581" ca="1">IF(INDIRECT("'Student_Record 1'!I" &amp; ROW())="", "", INDIRECT("'Student_Record 1'!I" &amp; ROW()))</f>
        <v/>
      </c>
      <c r="F581" s="8" t="str" cm="1">
        <f t="array" aca="1" ref="F581" ca="1">IF(INDIRECT("'Student_Record 1'!O" &amp; ROW())="", "", INDIRECT("'Student_Record 1'!O" &amp; ROW()))</f>
        <v/>
      </c>
      <c r="G581" s="11"/>
      <c r="I581" s="11"/>
      <c r="J581" s="11"/>
      <c r="K581" s="11"/>
      <c r="L581" s="11"/>
      <c r="M581" s="11"/>
      <c r="N581" s="11"/>
      <c r="O581" s="11"/>
      <c r="P581" s="11"/>
      <c r="Q581" s="11"/>
    </row>
    <row r="582" spans="1:17" x14ac:dyDescent="0.25">
      <c r="A582" s="8" t="str" cm="1">
        <f t="array" aca="1" ref="A582" ca="1">IF(INDIRECT("'Student_Record 1'!A" &amp; ROW())="", "", INDIRECT("'Student_Record 1'!A" &amp; ROW()))</f>
        <v/>
      </c>
      <c r="B582" s="8" t="str" cm="1">
        <f t="array" aca="1" ref="B582" ca="1">IF(INDIRECT("'Student_Record 1'!C" &amp; ROW())="", "", INDIRECT("'Student_Record 1'!C" &amp; ROW()))</f>
        <v/>
      </c>
      <c r="C582" s="8" t="str" cm="1">
        <f t="array" aca="1" ref="C582" ca="1">IF(INDIRECT("'Student_Record 1'!E" &amp; ROW())="", "", INDIRECT("'Student_Record 1'!E" &amp; ROW()))</f>
        <v/>
      </c>
      <c r="D582" s="8" t="str" cm="1">
        <f t="array" aca="1" ref="D582" ca="1">IF(INDIRECT("'Student_Record 1'!G" &amp; ROW())="", "", INDIRECT("'Student_Record 1'!G" &amp; ROW()))</f>
        <v/>
      </c>
      <c r="E582" s="8" t="str" cm="1">
        <f t="array" aca="1" ref="E582" ca="1">IF(INDIRECT("'Student_Record 1'!I" &amp; ROW())="", "", INDIRECT("'Student_Record 1'!I" &amp; ROW()))</f>
        <v/>
      </c>
      <c r="F582" s="8" t="str" cm="1">
        <f t="array" aca="1" ref="F582" ca="1">IF(INDIRECT("'Student_Record 1'!O" &amp; ROW())="", "", INDIRECT("'Student_Record 1'!O" &amp; ROW()))</f>
        <v/>
      </c>
      <c r="G582" s="11"/>
      <c r="I582" s="11"/>
      <c r="J582" s="11"/>
      <c r="K582" s="11"/>
      <c r="L582" s="11"/>
      <c r="M582" s="11"/>
      <c r="N582" s="11"/>
      <c r="O582" s="11"/>
      <c r="P582" s="11"/>
      <c r="Q582" s="11"/>
    </row>
    <row r="583" spans="1:17" x14ac:dyDescent="0.25">
      <c r="A583" s="8" t="str" cm="1">
        <f t="array" aca="1" ref="A583" ca="1">IF(INDIRECT("'Student_Record 1'!A" &amp; ROW())="", "", INDIRECT("'Student_Record 1'!A" &amp; ROW()))</f>
        <v/>
      </c>
      <c r="B583" s="8" t="str" cm="1">
        <f t="array" aca="1" ref="B583" ca="1">IF(INDIRECT("'Student_Record 1'!C" &amp; ROW())="", "", INDIRECT("'Student_Record 1'!C" &amp; ROW()))</f>
        <v/>
      </c>
      <c r="C583" s="8" t="str" cm="1">
        <f t="array" aca="1" ref="C583" ca="1">IF(INDIRECT("'Student_Record 1'!E" &amp; ROW())="", "", INDIRECT("'Student_Record 1'!E" &amp; ROW()))</f>
        <v/>
      </c>
      <c r="D583" s="8" t="str" cm="1">
        <f t="array" aca="1" ref="D583" ca="1">IF(INDIRECT("'Student_Record 1'!G" &amp; ROW())="", "", INDIRECT("'Student_Record 1'!G" &amp; ROW()))</f>
        <v/>
      </c>
      <c r="E583" s="8" t="str" cm="1">
        <f t="array" aca="1" ref="E583" ca="1">IF(INDIRECT("'Student_Record 1'!I" &amp; ROW())="", "", INDIRECT("'Student_Record 1'!I" &amp; ROW()))</f>
        <v/>
      </c>
      <c r="F583" s="8" t="str" cm="1">
        <f t="array" aca="1" ref="F583" ca="1">IF(INDIRECT("'Student_Record 1'!O" &amp; ROW())="", "", INDIRECT("'Student_Record 1'!O" &amp; ROW()))</f>
        <v/>
      </c>
      <c r="G583" s="11"/>
      <c r="I583" s="11"/>
      <c r="J583" s="11"/>
      <c r="K583" s="11"/>
      <c r="L583" s="11"/>
      <c r="M583" s="11"/>
      <c r="N583" s="11"/>
      <c r="O583" s="11"/>
      <c r="P583" s="11"/>
      <c r="Q583" s="11"/>
    </row>
    <row r="584" spans="1:17" x14ac:dyDescent="0.25">
      <c r="A584" s="8" t="str" cm="1">
        <f t="array" aca="1" ref="A584" ca="1">IF(INDIRECT("'Student_Record 1'!A" &amp; ROW())="", "", INDIRECT("'Student_Record 1'!A" &amp; ROW()))</f>
        <v/>
      </c>
      <c r="B584" s="8" t="str" cm="1">
        <f t="array" aca="1" ref="B584" ca="1">IF(INDIRECT("'Student_Record 1'!C" &amp; ROW())="", "", INDIRECT("'Student_Record 1'!C" &amp; ROW()))</f>
        <v/>
      </c>
      <c r="C584" s="8" t="str" cm="1">
        <f t="array" aca="1" ref="C584" ca="1">IF(INDIRECT("'Student_Record 1'!E" &amp; ROW())="", "", INDIRECT("'Student_Record 1'!E" &amp; ROW()))</f>
        <v/>
      </c>
      <c r="D584" s="8" t="str" cm="1">
        <f t="array" aca="1" ref="D584" ca="1">IF(INDIRECT("'Student_Record 1'!G" &amp; ROW())="", "", INDIRECT("'Student_Record 1'!G" &amp; ROW()))</f>
        <v/>
      </c>
      <c r="E584" s="8" t="str" cm="1">
        <f t="array" aca="1" ref="E584" ca="1">IF(INDIRECT("'Student_Record 1'!I" &amp; ROW())="", "", INDIRECT("'Student_Record 1'!I" &amp; ROW()))</f>
        <v/>
      </c>
      <c r="F584" s="8" t="str" cm="1">
        <f t="array" aca="1" ref="F584" ca="1">IF(INDIRECT("'Student_Record 1'!O" &amp; ROW())="", "", INDIRECT("'Student_Record 1'!O" &amp; ROW()))</f>
        <v/>
      </c>
      <c r="G584" s="11"/>
      <c r="I584" s="11"/>
      <c r="J584" s="11"/>
      <c r="K584" s="11"/>
      <c r="L584" s="11"/>
      <c r="M584" s="11"/>
      <c r="N584" s="11"/>
      <c r="O584" s="11"/>
      <c r="P584" s="11"/>
      <c r="Q584" s="11"/>
    </row>
    <row r="585" spans="1:17" x14ac:dyDescent="0.25">
      <c r="A585" s="8" t="str" cm="1">
        <f t="array" aca="1" ref="A585" ca="1">IF(INDIRECT("'Student_Record 1'!A" &amp; ROW())="", "", INDIRECT("'Student_Record 1'!A" &amp; ROW()))</f>
        <v/>
      </c>
      <c r="B585" s="8" t="str" cm="1">
        <f t="array" aca="1" ref="B585" ca="1">IF(INDIRECT("'Student_Record 1'!C" &amp; ROW())="", "", INDIRECT("'Student_Record 1'!C" &amp; ROW()))</f>
        <v/>
      </c>
      <c r="C585" s="8" t="str" cm="1">
        <f t="array" aca="1" ref="C585" ca="1">IF(INDIRECT("'Student_Record 1'!E" &amp; ROW())="", "", INDIRECT("'Student_Record 1'!E" &amp; ROW()))</f>
        <v/>
      </c>
      <c r="D585" s="8" t="str" cm="1">
        <f t="array" aca="1" ref="D585" ca="1">IF(INDIRECT("'Student_Record 1'!G" &amp; ROW())="", "", INDIRECT("'Student_Record 1'!G" &amp; ROW()))</f>
        <v/>
      </c>
      <c r="E585" s="8" t="str" cm="1">
        <f t="array" aca="1" ref="E585" ca="1">IF(INDIRECT("'Student_Record 1'!I" &amp; ROW())="", "", INDIRECT("'Student_Record 1'!I" &amp; ROW()))</f>
        <v/>
      </c>
      <c r="F585" s="8" t="str" cm="1">
        <f t="array" aca="1" ref="F585" ca="1">IF(INDIRECT("'Student_Record 1'!O" &amp; ROW())="", "", INDIRECT("'Student_Record 1'!O" &amp; ROW()))</f>
        <v/>
      </c>
      <c r="G585" s="11"/>
      <c r="I585" s="11"/>
      <c r="J585" s="11"/>
      <c r="K585" s="11"/>
      <c r="L585" s="11"/>
      <c r="M585" s="11"/>
      <c r="N585" s="11"/>
      <c r="O585" s="11"/>
      <c r="P585" s="11"/>
      <c r="Q585" s="11"/>
    </row>
    <row r="586" spans="1:17" x14ac:dyDescent="0.25">
      <c r="A586" s="8" t="str" cm="1">
        <f t="array" aca="1" ref="A586" ca="1">IF(INDIRECT("'Student_Record 1'!A" &amp; ROW())="", "", INDIRECT("'Student_Record 1'!A" &amp; ROW()))</f>
        <v/>
      </c>
      <c r="B586" s="8" t="str" cm="1">
        <f t="array" aca="1" ref="B586" ca="1">IF(INDIRECT("'Student_Record 1'!C" &amp; ROW())="", "", INDIRECT("'Student_Record 1'!C" &amp; ROW()))</f>
        <v/>
      </c>
      <c r="C586" s="8" t="str" cm="1">
        <f t="array" aca="1" ref="C586" ca="1">IF(INDIRECT("'Student_Record 1'!E" &amp; ROW())="", "", INDIRECT("'Student_Record 1'!E" &amp; ROW()))</f>
        <v/>
      </c>
      <c r="D586" s="8" t="str" cm="1">
        <f t="array" aca="1" ref="D586" ca="1">IF(INDIRECT("'Student_Record 1'!G" &amp; ROW())="", "", INDIRECT("'Student_Record 1'!G" &amp; ROW()))</f>
        <v/>
      </c>
      <c r="E586" s="8" t="str" cm="1">
        <f t="array" aca="1" ref="E586" ca="1">IF(INDIRECT("'Student_Record 1'!I" &amp; ROW())="", "", INDIRECT("'Student_Record 1'!I" &amp; ROW()))</f>
        <v/>
      </c>
      <c r="F586" s="8" t="str" cm="1">
        <f t="array" aca="1" ref="F586" ca="1">IF(INDIRECT("'Student_Record 1'!O" &amp; ROW())="", "", INDIRECT("'Student_Record 1'!O" &amp; ROW()))</f>
        <v/>
      </c>
      <c r="G586" s="11"/>
      <c r="I586" s="11"/>
      <c r="J586" s="11"/>
      <c r="K586" s="11"/>
      <c r="L586" s="11"/>
      <c r="M586" s="11"/>
      <c r="N586" s="11"/>
      <c r="O586" s="11"/>
      <c r="P586" s="11"/>
      <c r="Q586" s="11"/>
    </row>
    <row r="587" spans="1:17" x14ac:dyDescent="0.25">
      <c r="A587" s="8" t="str" cm="1">
        <f t="array" aca="1" ref="A587" ca="1">IF(INDIRECT("'Student_Record 1'!A" &amp; ROW())="", "", INDIRECT("'Student_Record 1'!A" &amp; ROW()))</f>
        <v/>
      </c>
      <c r="B587" s="8" t="str" cm="1">
        <f t="array" aca="1" ref="B587" ca="1">IF(INDIRECT("'Student_Record 1'!C" &amp; ROW())="", "", INDIRECT("'Student_Record 1'!C" &amp; ROW()))</f>
        <v/>
      </c>
      <c r="C587" s="8" t="str" cm="1">
        <f t="array" aca="1" ref="C587" ca="1">IF(INDIRECT("'Student_Record 1'!E" &amp; ROW())="", "", INDIRECT("'Student_Record 1'!E" &amp; ROW()))</f>
        <v/>
      </c>
      <c r="D587" s="8" t="str" cm="1">
        <f t="array" aca="1" ref="D587" ca="1">IF(INDIRECT("'Student_Record 1'!G" &amp; ROW())="", "", INDIRECT("'Student_Record 1'!G" &amp; ROW()))</f>
        <v/>
      </c>
      <c r="E587" s="8" t="str" cm="1">
        <f t="array" aca="1" ref="E587" ca="1">IF(INDIRECT("'Student_Record 1'!I" &amp; ROW())="", "", INDIRECT("'Student_Record 1'!I" &amp; ROW()))</f>
        <v/>
      </c>
      <c r="F587" s="8" t="str" cm="1">
        <f t="array" aca="1" ref="F587" ca="1">IF(INDIRECT("'Student_Record 1'!O" &amp; ROW())="", "", INDIRECT("'Student_Record 1'!O" &amp; ROW()))</f>
        <v/>
      </c>
      <c r="G587" s="11"/>
      <c r="I587" s="11"/>
      <c r="J587" s="11"/>
      <c r="K587" s="11"/>
      <c r="L587" s="11"/>
      <c r="M587" s="11"/>
      <c r="N587" s="11"/>
      <c r="O587" s="11"/>
      <c r="P587" s="11"/>
      <c r="Q587" s="11"/>
    </row>
    <row r="588" spans="1:17" x14ac:dyDescent="0.25">
      <c r="A588" s="8" t="str" cm="1">
        <f t="array" aca="1" ref="A588" ca="1">IF(INDIRECT("'Student_Record 1'!A" &amp; ROW())="", "", INDIRECT("'Student_Record 1'!A" &amp; ROW()))</f>
        <v/>
      </c>
      <c r="B588" s="8" t="str" cm="1">
        <f t="array" aca="1" ref="B588" ca="1">IF(INDIRECT("'Student_Record 1'!C" &amp; ROW())="", "", INDIRECT("'Student_Record 1'!C" &amp; ROW()))</f>
        <v/>
      </c>
      <c r="C588" s="8" t="str" cm="1">
        <f t="array" aca="1" ref="C588" ca="1">IF(INDIRECT("'Student_Record 1'!E" &amp; ROW())="", "", INDIRECT("'Student_Record 1'!E" &amp; ROW()))</f>
        <v/>
      </c>
      <c r="D588" s="8" t="str" cm="1">
        <f t="array" aca="1" ref="D588" ca="1">IF(INDIRECT("'Student_Record 1'!G" &amp; ROW())="", "", INDIRECT("'Student_Record 1'!G" &amp; ROW()))</f>
        <v/>
      </c>
      <c r="E588" s="8" t="str" cm="1">
        <f t="array" aca="1" ref="E588" ca="1">IF(INDIRECT("'Student_Record 1'!I" &amp; ROW())="", "", INDIRECT("'Student_Record 1'!I" &amp; ROW()))</f>
        <v/>
      </c>
      <c r="F588" s="8" t="str" cm="1">
        <f t="array" aca="1" ref="F588" ca="1">IF(INDIRECT("'Student_Record 1'!O" &amp; ROW())="", "", INDIRECT("'Student_Record 1'!O" &amp; ROW()))</f>
        <v/>
      </c>
      <c r="G588" s="11"/>
      <c r="I588" s="11"/>
      <c r="J588" s="11"/>
      <c r="K588" s="11"/>
      <c r="L588" s="11"/>
      <c r="M588" s="11"/>
      <c r="N588" s="11"/>
      <c r="O588" s="11"/>
      <c r="P588" s="11"/>
      <c r="Q588" s="11"/>
    </row>
    <row r="589" spans="1:17" x14ac:dyDescent="0.25">
      <c r="A589" s="8" t="str" cm="1">
        <f t="array" aca="1" ref="A589" ca="1">IF(INDIRECT("'Student_Record 1'!A" &amp; ROW())="", "", INDIRECT("'Student_Record 1'!A" &amp; ROW()))</f>
        <v/>
      </c>
      <c r="B589" s="8" t="str" cm="1">
        <f t="array" aca="1" ref="B589" ca="1">IF(INDIRECT("'Student_Record 1'!C" &amp; ROW())="", "", INDIRECT("'Student_Record 1'!C" &amp; ROW()))</f>
        <v/>
      </c>
      <c r="C589" s="8" t="str" cm="1">
        <f t="array" aca="1" ref="C589" ca="1">IF(INDIRECT("'Student_Record 1'!E" &amp; ROW())="", "", INDIRECT("'Student_Record 1'!E" &amp; ROW()))</f>
        <v/>
      </c>
      <c r="D589" s="8" t="str" cm="1">
        <f t="array" aca="1" ref="D589" ca="1">IF(INDIRECT("'Student_Record 1'!G" &amp; ROW())="", "", INDIRECT("'Student_Record 1'!G" &amp; ROW()))</f>
        <v/>
      </c>
      <c r="E589" s="8" t="str" cm="1">
        <f t="array" aca="1" ref="E589" ca="1">IF(INDIRECT("'Student_Record 1'!I" &amp; ROW())="", "", INDIRECT("'Student_Record 1'!I" &amp; ROW()))</f>
        <v/>
      </c>
      <c r="F589" s="8" t="str" cm="1">
        <f t="array" aca="1" ref="F589" ca="1">IF(INDIRECT("'Student_Record 1'!O" &amp; ROW())="", "", INDIRECT("'Student_Record 1'!O" &amp; ROW()))</f>
        <v/>
      </c>
      <c r="G589" s="11"/>
      <c r="I589" s="11"/>
      <c r="J589" s="11"/>
      <c r="K589" s="11"/>
      <c r="L589" s="11"/>
      <c r="M589" s="11"/>
      <c r="N589" s="11"/>
      <c r="O589" s="11"/>
      <c r="P589" s="11"/>
      <c r="Q589" s="11"/>
    </row>
    <row r="590" spans="1:17" x14ac:dyDescent="0.25">
      <c r="A590" s="8" t="str" cm="1">
        <f t="array" aca="1" ref="A590" ca="1">IF(INDIRECT("'Student_Record 1'!A" &amp; ROW())="", "", INDIRECT("'Student_Record 1'!A" &amp; ROW()))</f>
        <v/>
      </c>
      <c r="B590" s="8" t="str" cm="1">
        <f t="array" aca="1" ref="B590" ca="1">IF(INDIRECT("'Student_Record 1'!C" &amp; ROW())="", "", INDIRECT("'Student_Record 1'!C" &amp; ROW()))</f>
        <v/>
      </c>
      <c r="C590" s="8" t="str" cm="1">
        <f t="array" aca="1" ref="C590" ca="1">IF(INDIRECT("'Student_Record 1'!E" &amp; ROW())="", "", INDIRECT("'Student_Record 1'!E" &amp; ROW()))</f>
        <v/>
      </c>
      <c r="D590" s="8" t="str" cm="1">
        <f t="array" aca="1" ref="D590" ca="1">IF(INDIRECT("'Student_Record 1'!G" &amp; ROW())="", "", INDIRECT("'Student_Record 1'!G" &amp; ROW()))</f>
        <v/>
      </c>
      <c r="E590" s="8" t="str" cm="1">
        <f t="array" aca="1" ref="E590" ca="1">IF(INDIRECT("'Student_Record 1'!I" &amp; ROW())="", "", INDIRECT("'Student_Record 1'!I" &amp; ROW()))</f>
        <v/>
      </c>
      <c r="F590" s="8" t="str" cm="1">
        <f t="array" aca="1" ref="F590" ca="1">IF(INDIRECT("'Student_Record 1'!O" &amp; ROW())="", "", INDIRECT("'Student_Record 1'!O" &amp; ROW()))</f>
        <v/>
      </c>
      <c r="G590" s="11"/>
      <c r="I590" s="11"/>
      <c r="J590" s="11"/>
      <c r="K590" s="11"/>
      <c r="L590" s="11"/>
      <c r="M590" s="11"/>
      <c r="N590" s="11"/>
      <c r="O590" s="11"/>
      <c r="P590" s="11"/>
      <c r="Q590" s="11"/>
    </row>
    <row r="591" spans="1:17" x14ac:dyDescent="0.25">
      <c r="A591" s="8" t="str" cm="1">
        <f t="array" aca="1" ref="A591" ca="1">IF(INDIRECT("'Student_Record 1'!A" &amp; ROW())="", "", INDIRECT("'Student_Record 1'!A" &amp; ROW()))</f>
        <v/>
      </c>
      <c r="B591" s="8" t="str" cm="1">
        <f t="array" aca="1" ref="B591" ca="1">IF(INDIRECT("'Student_Record 1'!C" &amp; ROW())="", "", INDIRECT("'Student_Record 1'!C" &amp; ROW()))</f>
        <v/>
      </c>
      <c r="C591" s="8" t="str" cm="1">
        <f t="array" aca="1" ref="C591" ca="1">IF(INDIRECT("'Student_Record 1'!E" &amp; ROW())="", "", INDIRECT("'Student_Record 1'!E" &amp; ROW()))</f>
        <v/>
      </c>
      <c r="D591" s="8" t="str" cm="1">
        <f t="array" aca="1" ref="D591" ca="1">IF(INDIRECT("'Student_Record 1'!G" &amp; ROW())="", "", INDIRECT("'Student_Record 1'!G" &amp; ROW()))</f>
        <v/>
      </c>
      <c r="E591" s="8" t="str" cm="1">
        <f t="array" aca="1" ref="E591" ca="1">IF(INDIRECT("'Student_Record 1'!I" &amp; ROW())="", "", INDIRECT("'Student_Record 1'!I" &amp; ROW()))</f>
        <v/>
      </c>
      <c r="F591" s="8" t="str" cm="1">
        <f t="array" aca="1" ref="F591" ca="1">IF(INDIRECT("'Student_Record 1'!O" &amp; ROW())="", "", INDIRECT("'Student_Record 1'!O" &amp; ROW()))</f>
        <v/>
      </c>
      <c r="G591" s="11"/>
      <c r="I591" s="11"/>
      <c r="J591" s="11"/>
      <c r="K591" s="11"/>
      <c r="L591" s="11"/>
      <c r="M591" s="11"/>
      <c r="N591" s="11"/>
      <c r="O591" s="11"/>
      <c r="P591" s="11"/>
      <c r="Q591" s="11"/>
    </row>
    <row r="592" spans="1:17" x14ac:dyDescent="0.25">
      <c r="A592" s="8" t="str" cm="1">
        <f t="array" aca="1" ref="A592" ca="1">IF(INDIRECT("'Student_Record 1'!A" &amp; ROW())="", "", INDIRECT("'Student_Record 1'!A" &amp; ROW()))</f>
        <v/>
      </c>
      <c r="B592" s="8" t="str" cm="1">
        <f t="array" aca="1" ref="B592" ca="1">IF(INDIRECT("'Student_Record 1'!C" &amp; ROW())="", "", INDIRECT("'Student_Record 1'!C" &amp; ROW()))</f>
        <v/>
      </c>
      <c r="C592" s="8" t="str" cm="1">
        <f t="array" aca="1" ref="C592" ca="1">IF(INDIRECT("'Student_Record 1'!E" &amp; ROW())="", "", INDIRECT("'Student_Record 1'!E" &amp; ROW()))</f>
        <v/>
      </c>
      <c r="D592" s="8" t="str" cm="1">
        <f t="array" aca="1" ref="D592" ca="1">IF(INDIRECT("'Student_Record 1'!G" &amp; ROW())="", "", INDIRECT("'Student_Record 1'!G" &amp; ROW()))</f>
        <v/>
      </c>
      <c r="E592" s="8" t="str" cm="1">
        <f t="array" aca="1" ref="E592" ca="1">IF(INDIRECT("'Student_Record 1'!I" &amp; ROW())="", "", INDIRECT("'Student_Record 1'!I" &amp; ROW()))</f>
        <v/>
      </c>
      <c r="F592" s="8" t="str" cm="1">
        <f t="array" aca="1" ref="F592" ca="1">IF(INDIRECT("'Student_Record 1'!O" &amp; ROW())="", "", INDIRECT("'Student_Record 1'!O" &amp; ROW()))</f>
        <v/>
      </c>
      <c r="G592" s="11"/>
      <c r="I592" s="11"/>
      <c r="J592" s="11"/>
      <c r="K592" s="11"/>
      <c r="L592" s="11"/>
      <c r="M592" s="11"/>
      <c r="N592" s="11"/>
      <c r="O592" s="11"/>
      <c r="P592" s="11"/>
      <c r="Q592" s="11"/>
    </row>
    <row r="593" spans="1:17" x14ac:dyDescent="0.25">
      <c r="A593" s="8" t="str" cm="1">
        <f t="array" aca="1" ref="A593" ca="1">IF(INDIRECT("'Student_Record 1'!A" &amp; ROW())="", "", INDIRECT("'Student_Record 1'!A" &amp; ROW()))</f>
        <v/>
      </c>
      <c r="B593" s="8" t="str" cm="1">
        <f t="array" aca="1" ref="B593" ca="1">IF(INDIRECT("'Student_Record 1'!C" &amp; ROW())="", "", INDIRECT("'Student_Record 1'!C" &amp; ROW()))</f>
        <v/>
      </c>
      <c r="C593" s="8" t="str" cm="1">
        <f t="array" aca="1" ref="C593" ca="1">IF(INDIRECT("'Student_Record 1'!E" &amp; ROW())="", "", INDIRECT("'Student_Record 1'!E" &amp; ROW()))</f>
        <v/>
      </c>
      <c r="D593" s="8" t="str" cm="1">
        <f t="array" aca="1" ref="D593" ca="1">IF(INDIRECT("'Student_Record 1'!G" &amp; ROW())="", "", INDIRECT("'Student_Record 1'!G" &amp; ROW()))</f>
        <v/>
      </c>
      <c r="E593" s="8" t="str" cm="1">
        <f t="array" aca="1" ref="E593" ca="1">IF(INDIRECT("'Student_Record 1'!I" &amp; ROW())="", "", INDIRECT("'Student_Record 1'!I" &amp; ROW()))</f>
        <v/>
      </c>
      <c r="F593" s="8" t="str" cm="1">
        <f t="array" aca="1" ref="F593" ca="1">IF(INDIRECT("'Student_Record 1'!O" &amp; ROW())="", "", INDIRECT("'Student_Record 1'!O" &amp; ROW()))</f>
        <v/>
      </c>
      <c r="G593" s="11"/>
      <c r="I593" s="11"/>
      <c r="J593" s="11"/>
      <c r="K593" s="11"/>
      <c r="L593" s="11"/>
      <c r="M593" s="11"/>
      <c r="N593" s="11"/>
      <c r="O593" s="11"/>
      <c r="P593" s="11"/>
      <c r="Q593" s="11"/>
    </row>
    <row r="594" spans="1:17" x14ac:dyDescent="0.25">
      <c r="A594" s="8" t="str" cm="1">
        <f t="array" aca="1" ref="A594" ca="1">IF(INDIRECT("'Student_Record 1'!A" &amp; ROW())="", "", INDIRECT("'Student_Record 1'!A" &amp; ROW()))</f>
        <v/>
      </c>
      <c r="B594" s="8" t="str" cm="1">
        <f t="array" aca="1" ref="B594" ca="1">IF(INDIRECT("'Student_Record 1'!C" &amp; ROW())="", "", INDIRECT("'Student_Record 1'!C" &amp; ROW()))</f>
        <v/>
      </c>
      <c r="C594" s="8" t="str" cm="1">
        <f t="array" aca="1" ref="C594" ca="1">IF(INDIRECT("'Student_Record 1'!E" &amp; ROW())="", "", INDIRECT("'Student_Record 1'!E" &amp; ROW()))</f>
        <v/>
      </c>
      <c r="D594" s="8" t="str" cm="1">
        <f t="array" aca="1" ref="D594" ca="1">IF(INDIRECT("'Student_Record 1'!G" &amp; ROW())="", "", INDIRECT("'Student_Record 1'!G" &amp; ROW()))</f>
        <v/>
      </c>
      <c r="E594" s="8" t="str" cm="1">
        <f t="array" aca="1" ref="E594" ca="1">IF(INDIRECT("'Student_Record 1'!I" &amp; ROW())="", "", INDIRECT("'Student_Record 1'!I" &amp; ROW()))</f>
        <v/>
      </c>
      <c r="F594" s="8" t="str" cm="1">
        <f t="array" aca="1" ref="F594" ca="1">IF(INDIRECT("'Student_Record 1'!O" &amp; ROW())="", "", INDIRECT("'Student_Record 1'!O" &amp; ROW()))</f>
        <v/>
      </c>
      <c r="G594" s="11"/>
      <c r="I594" s="11"/>
      <c r="J594" s="11"/>
      <c r="K594" s="11"/>
      <c r="L594" s="11"/>
      <c r="M594" s="11"/>
      <c r="N594" s="11"/>
      <c r="O594" s="11"/>
      <c r="P594" s="11"/>
      <c r="Q594" s="11"/>
    </row>
    <row r="595" spans="1:17" x14ac:dyDescent="0.25">
      <c r="A595" s="8" t="str" cm="1">
        <f t="array" aca="1" ref="A595" ca="1">IF(INDIRECT("'Student_Record 1'!A" &amp; ROW())="", "", INDIRECT("'Student_Record 1'!A" &amp; ROW()))</f>
        <v/>
      </c>
      <c r="B595" s="8" t="str" cm="1">
        <f t="array" aca="1" ref="B595" ca="1">IF(INDIRECT("'Student_Record 1'!C" &amp; ROW())="", "", INDIRECT("'Student_Record 1'!C" &amp; ROW()))</f>
        <v/>
      </c>
      <c r="C595" s="8" t="str" cm="1">
        <f t="array" aca="1" ref="C595" ca="1">IF(INDIRECT("'Student_Record 1'!E" &amp; ROW())="", "", INDIRECT("'Student_Record 1'!E" &amp; ROW()))</f>
        <v/>
      </c>
      <c r="D595" s="8" t="str" cm="1">
        <f t="array" aca="1" ref="D595" ca="1">IF(INDIRECT("'Student_Record 1'!G" &amp; ROW())="", "", INDIRECT("'Student_Record 1'!G" &amp; ROW()))</f>
        <v/>
      </c>
      <c r="E595" s="8" t="str" cm="1">
        <f t="array" aca="1" ref="E595" ca="1">IF(INDIRECT("'Student_Record 1'!I" &amp; ROW())="", "", INDIRECT("'Student_Record 1'!I" &amp; ROW()))</f>
        <v/>
      </c>
      <c r="F595" s="8" t="str" cm="1">
        <f t="array" aca="1" ref="F595" ca="1">IF(INDIRECT("'Student_Record 1'!O" &amp; ROW())="", "", INDIRECT("'Student_Record 1'!O" &amp; ROW()))</f>
        <v/>
      </c>
      <c r="G595" s="11"/>
      <c r="I595" s="11"/>
      <c r="J595" s="11"/>
      <c r="K595" s="11"/>
      <c r="L595" s="11"/>
      <c r="M595" s="11"/>
      <c r="N595" s="11"/>
      <c r="O595" s="11"/>
      <c r="P595" s="11"/>
      <c r="Q595" s="11"/>
    </row>
    <row r="596" spans="1:17" x14ac:dyDescent="0.25">
      <c r="A596" s="8" t="str" cm="1">
        <f t="array" aca="1" ref="A596" ca="1">IF(INDIRECT("'Student_Record 1'!A" &amp; ROW())="", "", INDIRECT("'Student_Record 1'!A" &amp; ROW()))</f>
        <v/>
      </c>
      <c r="B596" s="8" t="str" cm="1">
        <f t="array" aca="1" ref="B596" ca="1">IF(INDIRECT("'Student_Record 1'!C" &amp; ROW())="", "", INDIRECT("'Student_Record 1'!C" &amp; ROW()))</f>
        <v/>
      </c>
      <c r="C596" s="8" t="str" cm="1">
        <f t="array" aca="1" ref="C596" ca="1">IF(INDIRECT("'Student_Record 1'!E" &amp; ROW())="", "", INDIRECT("'Student_Record 1'!E" &amp; ROW()))</f>
        <v/>
      </c>
      <c r="D596" s="8" t="str" cm="1">
        <f t="array" aca="1" ref="D596" ca="1">IF(INDIRECT("'Student_Record 1'!G" &amp; ROW())="", "", INDIRECT("'Student_Record 1'!G" &amp; ROW()))</f>
        <v/>
      </c>
      <c r="E596" s="8" t="str" cm="1">
        <f t="array" aca="1" ref="E596" ca="1">IF(INDIRECT("'Student_Record 1'!I" &amp; ROW())="", "", INDIRECT("'Student_Record 1'!I" &amp; ROW()))</f>
        <v/>
      </c>
      <c r="F596" s="8" t="str" cm="1">
        <f t="array" aca="1" ref="F596" ca="1">IF(INDIRECT("'Student_Record 1'!O" &amp; ROW())="", "", INDIRECT("'Student_Record 1'!O" &amp; ROW()))</f>
        <v/>
      </c>
      <c r="G596" s="11"/>
      <c r="I596" s="11"/>
      <c r="J596" s="11"/>
      <c r="K596" s="11"/>
      <c r="L596" s="11"/>
      <c r="M596" s="11"/>
      <c r="N596" s="11"/>
      <c r="O596" s="11"/>
      <c r="P596" s="11"/>
      <c r="Q596" s="11"/>
    </row>
    <row r="597" spans="1:17" x14ac:dyDescent="0.25">
      <c r="A597" s="8" t="str" cm="1">
        <f t="array" aca="1" ref="A597" ca="1">IF(INDIRECT("'Student_Record 1'!A" &amp; ROW())="", "", INDIRECT("'Student_Record 1'!A" &amp; ROW()))</f>
        <v/>
      </c>
      <c r="B597" s="8" t="str" cm="1">
        <f t="array" aca="1" ref="B597" ca="1">IF(INDIRECT("'Student_Record 1'!C" &amp; ROW())="", "", INDIRECT("'Student_Record 1'!C" &amp; ROW()))</f>
        <v/>
      </c>
      <c r="C597" s="8" t="str" cm="1">
        <f t="array" aca="1" ref="C597" ca="1">IF(INDIRECT("'Student_Record 1'!E" &amp; ROW())="", "", INDIRECT("'Student_Record 1'!E" &amp; ROW()))</f>
        <v/>
      </c>
      <c r="D597" s="8" t="str" cm="1">
        <f t="array" aca="1" ref="D597" ca="1">IF(INDIRECT("'Student_Record 1'!G" &amp; ROW())="", "", INDIRECT("'Student_Record 1'!G" &amp; ROW()))</f>
        <v/>
      </c>
      <c r="E597" s="8" t="str" cm="1">
        <f t="array" aca="1" ref="E597" ca="1">IF(INDIRECT("'Student_Record 1'!I" &amp; ROW())="", "", INDIRECT("'Student_Record 1'!I" &amp; ROW()))</f>
        <v/>
      </c>
      <c r="F597" s="8" t="str" cm="1">
        <f t="array" aca="1" ref="F597" ca="1">IF(INDIRECT("'Student_Record 1'!O" &amp; ROW())="", "", INDIRECT("'Student_Record 1'!O" &amp; ROW()))</f>
        <v/>
      </c>
      <c r="G597" s="11"/>
      <c r="I597" s="11"/>
      <c r="J597" s="11"/>
      <c r="K597" s="11"/>
      <c r="L597" s="11"/>
      <c r="M597" s="11"/>
      <c r="N597" s="11"/>
      <c r="O597" s="11"/>
      <c r="P597" s="11"/>
      <c r="Q597" s="11"/>
    </row>
    <row r="598" spans="1:17" x14ac:dyDescent="0.25">
      <c r="A598" s="8" t="str" cm="1">
        <f t="array" aca="1" ref="A598" ca="1">IF(INDIRECT("'Student_Record 1'!A" &amp; ROW())="", "", INDIRECT("'Student_Record 1'!A" &amp; ROW()))</f>
        <v/>
      </c>
      <c r="B598" s="8" t="str" cm="1">
        <f t="array" aca="1" ref="B598" ca="1">IF(INDIRECT("'Student_Record 1'!C" &amp; ROW())="", "", INDIRECT("'Student_Record 1'!C" &amp; ROW()))</f>
        <v/>
      </c>
      <c r="C598" s="8" t="str" cm="1">
        <f t="array" aca="1" ref="C598" ca="1">IF(INDIRECT("'Student_Record 1'!E" &amp; ROW())="", "", INDIRECT("'Student_Record 1'!E" &amp; ROW()))</f>
        <v/>
      </c>
      <c r="D598" s="8" t="str" cm="1">
        <f t="array" aca="1" ref="D598" ca="1">IF(INDIRECT("'Student_Record 1'!G" &amp; ROW())="", "", INDIRECT("'Student_Record 1'!G" &amp; ROW()))</f>
        <v/>
      </c>
      <c r="E598" s="8" t="str" cm="1">
        <f t="array" aca="1" ref="E598" ca="1">IF(INDIRECT("'Student_Record 1'!I" &amp; ROW())="", "", INDIRECT("'Student_Record 1'!I" &amp; ROW()))</f>
        <v/>
      </c>
      <c r="F598" s="8" t="str" cm="1">
        <f t="array" aca="1" ref="F598" ca="1">IF(INDIRECT("'Student_Record 1'!O" &amp; ROW())="", "", INDIRECT("'Student_Record 1'!O" &amp; ROW()))</f>
        <v/>
      </c>
      <c r="G598" s="11"/>
      <c r="I598" s="11"/>
      <c r="J598" s="11"/>
      <c r="K598" s="11"/>
      <c r="L598" s="11"/>
      <c r="M598" s="11"/>
      <c r="N598" s="11"/>
      <c r="O598" s="11"/>
      <c r="P598" s="11"/>
      <c r="Q598" s="11"/>
    </row>
    <row r="599" spans="1:17" x14ac:dyDescent="0.25">
      <c r="A599" s="8" t="str" cm="1">
        <f t="array" aca="1" ref="A599" ca="1">IF(INDIRECT("'Student_Record 1'!A" &amp; ROW())="", "", INDIRECT("'Student_Record 1'!A" &amp; ROW()))</f>
        <v/>
      </c>
      <c r="B599" s="8" t="str" cm="1">
        <f t="array" aca="1" ref="B599" ca="1">IF(INDIRECT("'Student_Record 1'!C" &amp; ROW())="", "", INDIRECT("'Student_Record 1'!C" &amp; ROW()))</f>
        <v/>
      </c>
      <c r="C599" s="8" t="str" cm="1">
        <f t="array" aca="1" ref="C599" ca="1">IF(INDIRECT("'Student_Record 1'!E" &amp; ROW())="", "", INDIRECT("'Student_Record 1'!E" &amp; ROW()))</f>
        <v/>
      </c>
      <c r="D599" s="8" t="str" cm="1">
        <f t="array" aca="1" ref="D599" ca="1">IF(INDIRECT("'Student_Record 1'!G" &amp; ROW())="", "", INDIRECT("'Student_Record 1'!G" &amp; ROW()))</f>
        <v/>
      </c>
      <c r="E599" s="8" t="str" cm="1">
        <f t="array" aca="1" ref="E599" ca="1">IF(INDIRECT("'Student_Record 1'!I" &amp; ROW())="", "", INDIRECT("'Student_Record 1'!I" &amp; ROW()))</f>
        <v/>
      </c>
      <c r="F599" s="8" t="str" cm="1">
        <f t="array" aca="1" ref="F599" ca="1">IF(INDIRECT("'Student_Record 1'!O" &amp; ROW())="", "", INDIRECT("'Student_Record 1'!O" &amp; ROW()))</f>
        <v/>
      </c>
      <c r="G599" s="11"/>
      <c r="I599" s="11"/>
      <c r="J599" s="11"/>
      <c r="K599" s="11"/>
      <c r="L599" s="11"/>
      <c r="M599" s="11"/>
      <c r="N599" s="11"/>
      <c r="O599" s="11"/>
      <c r="P599" s="11"/>
      <c r="Q599" s="11"/>
    </row>
    <row r="600" spans="1:17" x14ac:dyDescent="0.25">
      <c r="A600" s="8" t="str" cm="1">
        <f t="array" aca="1" ref="A600" ca="1">IF(INDIRECT("'Student_Record 1'!A" &amp; ROW())="", "", INDIRECT("'Student_Record 1'!A" &amp; ROW()))</f>
        <v/>
      </c>
      <c r="B600" s="8" t="str" cm="1">
        <f t="array" aca="1" ref="B600" ca="1">IF(INDIRECT("'Student_Record 1'!C" &amp; ROW())="", "", INDIRECT("'Student_Record 1'!C" &amp; ROW()))</f>
        <v/>
      </c>
      <c r="C600" s="8" t="str" cm="1">
        <f t="array" aca="1" ref="C600" ca="1">IF(INDIRECT("'Student_Record 1'!E" &amp; ROW())="", "", INDIRECT("'Student_Record 1'!E" &amp; ROW()))</f>
        <v/>
      </c>
      <c r="D600" s="8" t="str" cm="1">
        <f t="array" aca="1" ref="D600" ca="1">IF(INDIRECT("'Student_Record 1'!G" &amp; ROW())="", "", INDIRECT("'Student_Record 1'!G" &amp; ROW()))</f>
        <v/>
      </c>
      <c r="E600" s="8" t="str" cm="1">
        <f t="array" aca="1" ref="E600" ca="1">IF(INDIRECT("'Student_Record 1'!I" &amp; ROW())="", "", INDIRECT("'Student_Record 1'!I" &amp; ROW()))</f>
        <v/>
      </c>
      <c r="F600" s="8" t="str" cm="1">
        <f t="array" aca="1" ref="F600" ca="1">IF(INDIRECT("'Student_Record 1'!O" &amp; ROW())="", "", INDIRECT("'Student_Record 1'!O" &amp; ROW()))</f>
        <v/>
      </c>
      <c r="G600" s="11"/>
      <c r="I600" s="11"/>
      <c r="J600" s="11"/>
      <c r="K600" s="11"/>
      <c r="L600" s="11"/>
      <c r="M600" s="11"/>
      <c r="N600" s="11"/>
      <c r="O600" s="11"/>
      <c r="P600" s="11"/>
      <c r="Q600" s="11"/>
    </row>
    <row r="601" spans="1:17" x14ac:dyDescent="0.25">
      <c r="A601" s="8" t="str" cm="1">
        <f t="array" aca="1" ref="A601" ca="1">IF(INDIRECT("'Student_Record 1'!A" &amp; ROW())="", "", INDIRECT("'Student_Record 1'!A" &amp; ROW()))</f>
        <v/>
      </c>
      <c r="B601" s="8" t="str" cm="1">
        <f t="array" aca="1" ref="B601" ca="1">IF(INDIRECT("'Student_Record 1'!C" &amp; ROW())="", "", INDIRECT("'Student_Record 1'!C" &amp; ROW()))</f>
        <v/>
      </c>
      <c r="C601" s="8" t="str" cm="1">
        <f t="array" aca="1" ref="C601" ca="1">IF(INDIRECT("'Student_Record 1'!E" &amp; ROW())="", "", INDIRECT("'Student_Record 1'!E" &amp; ROW()))</f>
        <v/>
      </c>
      <c r="D601" s="8" t="str" cm="1">
        <f t="array" aca="1" ref="D601" ca="1">IF(INDIRECT("'Student_Record 1'!G" &amp; ROW())="", "", INDIRECT("'Student_Record 1'!G" &amp; ROW()))</f>
        <v/>
      </c>
      <c r="E601" s="8" t="str" cm="1">
        <f t="array" aca="1" ref="E601" ca="1">IF(INDIRECT("'Student_Record 1'!I" &amp; ROW())="", "", INDIRECT("'Student_Record 1'!I" &amp; ROW()))</f>
        <v/>
      </c>
      <c r="F601" s="8" t="str" cm="1">
        <f t="array" aca="1" ref="F601" ca="1">IF(INDIRECT("'Student_Record 1'!O" &amp; ROW())="", "", INDIRECT("'Student_Record 1'!O" &amp; ROW()))</f>
        <v/>
      </c>
      <c r="G601" s="11"/>
      <c r="I601" s="11"/>
      <c r="J601" s="11"/>
      <c r="K601" s="11"/>
      <c r="L601" s="11"/>
      <c r="M601" s="11"/>
      <c r="N601" s="11"/>
      <c r="O601" s="11"/>
      <c r="P601" s="11"/>
      <c r="Q601" s="11"/>
    </row>
    <row r="602" spans="1:17" x14ac:dyDescent="0.25">
      <c r="A602" s="8" t="str" cm="1">
        <f t="array" aca="1" ref="A602" ca="1">IF(INDIRECT("'Student_Record 1'!A" &amp; ROW())="", "", INDIRECT("'Student_Record 1'!A" &amp; ROW()))</f>
        <v/>
      </c>
      <c r="B602" s="8" t="str" cm="1">
        <f t="array" aca="1" ref="B602" ca="1">IF(INDIRECT("'Student_Record 1'!C" &amp; ROW())="", "", INDIRECT("'Student_Record 1'!C" &amp; ROW()))</f>
        <v/>
      </c>
      <c r="C602" s="8" t="str" cm="1">
        <f t="array" aca="1" ref="C602" ca="1">IF(INDIRECT("'Student_Record 1'!E" &amp; ROW())="", "", INDIRECT("'Student_Record 1'!E" &amp; ROW()))</f>
        <v/>
      </c>
      <c r="D602" s="8" t="str" cm="1">
        <f t="array" aca="1" ref="D602" ca="1">IF(INDIRECT("'Student_Record 1'!G" &amp; ROW())="", "", INDIRECT("'Student_Record 1'!G" &amp; ROW()))</f>
        <v/>
      </c>
      <c r="E602" s="8" t="str" cm="1">
        <f t="array" aca="1" ref="E602" ca="1">IF(INDIRECT("'Student_Record 1'!I" &amp; ROW())="", "", INDIRECT("'Student_Record 1'!I" &amp; ROW()))</f>
        <v/>
      </c>
      <c r="F602" s="8" t="str" cm="1">
        <f t="array" aca="1" ref="F602" ca="1">IF(INDIRECT("'Student_Record 1'!O" &amp; ROW())="", "", INDIRECT("'Student_Record 1'!O" &amp; ROW()))</f>
        <v/>
      </c>
      <c r="G602" s="11"/>
      <c r="I602" s="11"/>
      <c r="J602" s="11"/>
      <c r="K602" s="11"/>
      <c r="L602" s="11"/>
      <c r="M602" s="11"/>
      <c r="N602" s="11"/>
      <c r="O602" s="11"/>
      <c r="P602" s="11"/>
      <c r="Q602" s="11"/>
    </row>
    <row r="603" spans="1:17" x14ac:dyDescent="0.25">
      <c r="A603" s="8" t="str" cm="1">
        <f t="array" aca="1" ref="A603" ca="1">IF(INDIRECT("'Student_Record 1'!A" &amp; ROW())="", "", INDIRECT("'Student_Record 1'!A" &amp; ROW()))</f>
        <v/>
      </c>
      <c r="B603" s="8" t="str" cm="1">
        <f t="array" aca="1" ref="B603" ca="1">IF(INDIRECT("'Student_Record 1'!C" &amp; ROW())="", "", INDIRECT("'Student_Record 1'!C" &amp; ROW()))</f>
        <v/>
      </c>
      <c r="C603" s="8" t="str" cm="1">
        <f t="array" aca="1" ref="C603" ca="1">IF(INDIRECT("'Student_Record 1'!E" &amp; ROW())="", "", INDIRECT("'Student_Record 1'!E" &amp; ROW()))</f>
        <v/>
      </c>
      <c r="D603" s="8" t="str" cm="1">
        <f t="array" aca="1" ref="D603" ca="1">IF(INDIRECT("'Student_Record 1'!G" &amp; ROW())="", "", INDIRECT("'Student_Record 1'!G" &amp; ROW()))</f>
        <v/>
      </c>
      <c r="E603" s="8" t="str" cm="1">
        <f t="array" aca="1" ref="E603" ca="1">IF(INDIRECT("'Student_Record 1'!I" &amp; ROW())="", "", INDIRECT("'Student_Record 1'!I" &amp; ROW()))</f>
        <v/>
      </c>
      <c r="F603" s="8" t="str" cm="1">
        <f t="array" aca="1" ref="F603" ca="1">IF(INDIRECT("'Student_Record 1'!O" &amp; ROW())="", "", INDIRECT("'Student_Record 1'!O" &amp; ROW()))</f>
        <v/>
      </c>
      <c r="G603" s="11"/>
      <c r="I603" s="11"/>
      <c r="J603" s="11"/>
      <c r="K603" s="11"/>
      <c r="L603" s="11"/>
      <c r="M603" s="11"/>
      <c r="N603" s="11"/>
      <c r="O603" s="11"/>
      <c r="P603" s="11"/>
      <c r="Q603" s="11"/>
    </row>
    <row r="604" spans="1:17" x14ac:dyDescent="0.25">
      <c r="A604" s="8" t="str" cm="1">
        <f t="array" aca="1" ref="A604" ca="1">IF(INDIRECT("'Student_Record 1'!A" &amp; ROW())="", "", INDIRECT("'Student_Record 1'!A" &amp; ROW()))</f>
        <v/>
      </c>
      <c r="B604" s="8" t="str" cm="1">
        <f t="array" aca="1" ref="B604" ca="1">IF(INDIRECT("'Student_Record 1'!C" &amp; ROW())="", "", INDIRECT("'Student_Record 1'!C" &amp; ROW()))</f>
        <v/>
      </c>
      <c r="C604" s="8" t="str" cm="1">
        <f t="array" aca="1" ref="C604" ca="1">IF(INDIRECT("'Student_Record 1'!E" &amp; ROW())="", "", INDIRECT("'Student_Record 1'!E" &amp; ROW()))</f>
        <v/>
      </c>
      <c r="D604" s="8" t="str" cm="1">
        <f t="array" aca="1" ref="D604" ca="1">IF(INDIRECT("'Student_Record 1'!G" &amp; ROW())="", "", INDIRECT("'Student_Record 1'!G" &amp; ROW()))</f>
        <v/>
      </c>
      <c r="E604" s="8" t="str" cm="1">
        <f t="array" aca="1" ref="E604" ca="1">IF(INDIRECT("'Student_Record 1'!I" &amp; ROW())="", "", INDIRECT("'Student_Record 1'!I" &amp; ROW()))</f>
        <v/>
      </c>
      <c r="F604" s="8" t="str" cm="1">
        <f t="array" aca="1" ref="F604" ca="1">IF(INDIRECT("'Student_Record 1'!O" &amp; ROW())="", "", INDIRECT("'Student_Record 1'!O" &amp; ROW()))</f>
        <v/>
      </c>
      <c r="G604" s="11"/>
      <c r="I604" s="11"/>
      <c r="J604" s="11"/>
      <c r="K604" s="11"/>
      <c r="L604" s="11"/>
      <c r="M604" s="11"/>
      <c r="N604" s="11"/>
      <c r="O604" s="11"/>
      <c r="P604" s="11"/>
      <c r="Q604" s="11"/>
    </row>
    <row r="605" spans="1:17" x14ac:dyDescent="0.25">
      <c r="A605" s="8" t="str" cm="1">
        <f t="array" aca="1" ref="A605" ca="1">IF(INDIRECT("'Student_Record 1'!A" &amp; ROW())="", "", INDIRECT("'Student_Record 1'!A" &amp; ROW()))</f>
        <v/>
      </c>
      <c r="B605" s="8" t="str" cm="1">
        <f t="array" aca="1" ref="B605" ca="1">IF(INDIRECT("'Student_Record 1'!C" &amp; ROW())="", "", INDIRECT("'Student_Record 1'!C" &amp; ROW()))</f>
        <v/>
      </c>
      <c r="C605" s="8" t="str" cm="1">
        <f t="array" aca="1" ref="C605" ca="1">IF(INDIRECT("'Student_Record 1'!E" &amp; ROW())="", "", INDIRECT("'Student_Record 1'!E" &amp; ROW()))</f>
        <v/>
      </c>
      <c r="D605" s="8" t="str" cm="1">
        <f t="array" aca="1" ref="D605" ca="1">IF(INDIRECT("'Student_Record 1'!G" &amp; ROW())="", "", INDIRECT("'Student_Record 1'!G" &amp; ROW()))</f>
        <v/>
      </c>
      <c r="E605" s="8" t="str" cm="1">
        <f t="array" aca="1" ref="E605" ca="1">IF(INDIRECT("'Student_Record 1'!I" &amp; ROW())="", "", INDIRECT("'Student_Record 1'!I" &amp; ROW()))</f>
        <v/>
      </c>
      <c r="F605" s="8" t="str" cm="1">
        <f t="array" aca="1" ref="F605" ca="1">IF(INDIRECT("'Student_Record 1'!O" &amp; ROW())="", "", INDIRECT("'Student_Record 1'!O" &amp; ROW()))</f>
        <v/>
      </c>
      <c r="G605" s="11"/>
      <c r="I605" s="11"/>
      <c r="J605" s="11"/>
      <c r="K605" s="11"/>
      <c r="L605" s="11"/>
      <c r="M605" s="11"/>
      <c r="N605" s="11"/>
      <c r="O605" s="11"/>
      <c r="P605" s="11"/>
      <c r="Q605" s="11"/>
    </row>
    <row r="606" spans="1:17" x14ac:dyDescent="0.25">
      <c r="A606" s="8" t="str" cm="1">
        <f t="array" aca="1" ref="A606" ca="1">IF(INDIRECT("'Student_Record 1'!A" &amp; ROW())="", "", INDIRECT("'Student_Record 1'!A" &amp; ROW()))</f>
        <v/>
      </c>
      <c r="B606" s="8" t="str" cm="1">
        <f t="array" aca="1" ref="B606" ca="1">IF(INDIRECT("'Student_Record 1'!C" &amp; ROW())="", "", INDIRECT("'Student_Record 1'!C" &amp; ROW()))</f>
        <v/>
      </c>
      <c r="C606" s="8" t="str" cm="1">
        <f t="array" aca="1" ref="C606" ca="1">IF(INDIRECT("'Student_Record 1'!E" &amp; ROW())="", "", INDIRECT("'Student_Record 1'!E" &amp; ROW()))</f>
        <v/>
      </c>
      <c r="D606" s="8" t="str" cm="1">
        <f t="array" aca="1" ref="D606" ca="1">IF(INDIRECT("'Student_Record 1'!G" &amp; ROW())="", "", INDIRECT("'Student_Record 1'!G" &amp; ROW()))</f>
        <v/>
      </c>
      <c r="E606" s="8" t="str" cm="1">
        <f t="array" aca="1" ref="E606" ca="1">IF(INDIRECT("'Student_Record 1'!I" &amp; ROW())="", "", INDIRECT("'Student_Record 1'!I" &amp; ROW()))</f>
        <v/>
      </c>
      <c r="F606" s="8" t="str" cm="1">
        <f t="array" aca="1" ref="F606" ca="1">IF(INDIRECT("'Student_Record 1'!O" &amp; ROW())="", "", INDIRECT("'Student_Record 1'!O" &amp; ROW()))</f>
        <v/>
      </c>
      <c r="G606" s="11"/>
      <c r="I606" s="11"/>
      <c r="J606" s="11"/>
      <c r="K606" s="11"/>
      <c r="L606" s="11"/>
      <c r="M606" s="11"/>
      <c r="N606" s="11"/>
      <c r="O606" s="11"/>
      <c r="P606" s="11"/>
      <c r="Q606" s="11"/>
    </row>
    <row r="607" spans="1:17" x14ac:dyDescent="0.25">
      <c r="A607" s="8" t="str" cm="1">
        <f t="array" aca="1" ref="A607" ca="1">IF(INDIRECT("'Student_Record 1'!A" &amp; ROW())="", "", INDIRECT("'Student_Record 1'!A" &amp; ROW()))</f>
        <v/>
      </c>
      <c r="B607" s="8" t="str" cm="1">
        <f t="array" aca="1" ref="B607" ca="1">IF(INDIRECT("'Student_Record 1'!C" &amp; ROW())="", "", INDIRECT("'Student_Record 1'!C" &amp; ROW()))</f>
        <v/>
      </c>
      <c r="C607" s="8" t="str" cm="1">
        <f t="array" aca="1" ref="C607" ca="1">IF(INDIRECT("'Student_Record 1'!E" &amp; ROW())="", "", INDIRECT("'Student_Record 1'!E" &amp; ROW()))</f>
        <v/>
      </c>
      <c r="D607" s="8" t="str" cm="1">
        <f t="array" aca="1" ref="D607" ca="1">IF(INDIRECT("'Student_Record 1'!G" &amp; ROW())="", "", INDIRECT("'Student_Record 1'!G" &amp; ROW()))</f>
        <v/>
      </c>
      <c r="E607" s="8" t="str" cm="1">
        <f t="array" aca="1" ref="E607" ca="1">IF(INDIRECT("'Student_Record 1'!I" &amp; ROW())="", "", INDIRECT("'Student_Record 1'!I" &amp; ROW()))</f>
        <v/>
      </c>
      <c r="F607" s="8" t="str" cm="1">
        <f t="array" aca="1" ref="F607" ca="1">IF(INDIRECT("'Student_Record 1'!O" &amp; ROW())="", "", INDIRECT("'Student_Record 1'!O" &amp; ROW()))</f>
        <v/>
      </c>
      <c r="G607" s="11"/>
      <c r="I607" s="11"/>
      <c r="J607" s="11"/>
      <c r="K607" s="11"/>
      <c r="L607" s="11"/>
      <c r="M607" s="11"/>
      <c r="N607" s="11"/>
      <c r="O607" s="11"/>
      <c r="P607" s="11"/>
      <c r="Q607" s="11"/>
    </row>
    <row r="608" spans="1:17" x14ac:dyDescent="0.25">
      <c r="A608" s="8" t="str" cm="1">
        <f t="array" aca="1" ref="A608" ca="1">IF(INDIRECT("'Student_Record 1'!A" &amp; ROW())="", "", INDIRECT("'Student_Record 1'!A" &amp; ROW()))</f>
        <v/>
      </c>
      <c r="B608" s="8" t="str" cm="1">
        <f t="array" aca="1" ref="B608" ca="1">IF(INDIRECT("'Student_Record 1'!C" &amp; ROW())="", "", INDIRECT("'Student_Record 1'!C" &amp; ROW()))</f>
        <v/>
      </c>
      <c r="C608" s="8" t="str" cm="1">
        <f t="array" aca="1" ref="C608" ca="1">IF(INDIRECT("'Student_Record 1'!E" &amp; ROW())="", "", INDIRECT("'Student_Record 1'!E" &amp; ROW()))</f>
        <v/>
      </c>
      <c r="D608" s="8" t="str" cm="1">
        <f t="array" aca="1" ref="D608" ca="1">IF(INDIRECT("'Student_Record 1'!G" &amp; ROW())="", "", INDIRECT("'Student_Record 1'!G" &amp; ROW()))</f>
        <v/>
      </c>
      <c r="E608" s="8" t="str" cm="1">
        <f t="array" aca="1" ref="E608" ca="1">IF(INDIRECT("'Student_Record 1'!I" &amp; ROW())="", "", INDIRECT("'Student_Record 1'!I" &amp; ROW()))</f>
        <v/>
      </c>
      <c r="F608" s="8" t="str" cm="1">
        <f t="array" aca="1" ref="F608" ca="1">IF(INDIRECT("'Student_Record 1'!O" &amp; ROW())="", "", INDIRECT("'Student_Record 1'!O" &amp; ROW()))</f>
        <v/>
      </c>
      <c r="G608" s="11"/>
      <c r="I608" s="11"/>
      <c r="J608" s="11"/>
      <c r="K608" s="11"/>
      <c r="L608" s="11"/>
      <c r="M608" s="11"/>
      <c r="N608" s="11"/>
      <c r="O608" s="11"/>
      <c r="P608" s="11"/>
      <c r="Q608" s="11"/>
    </row>
    <row r="609" spans="1:17" x14ac:dyDescent="0.25">
      <c r="A609" s="8" t="str" cm="1">
        <f t="array" aca="1" ref="A609" ca="1">IF(INDIRECT("'Student_Record 1'!A" &amp; ROW())="", "", INDIRECT("'Student_Record 1'!A" &amp; ROW()))</f>
        <v/>
      </c>
      <c r="B609" s="8" t="str" cm="1">
        <f t="array" aca="1" ref="B609" ca="1">IF(INDIRECT("'Student_Record 1'!C" &amp; ROW())="", "", INDIRECT("'Student_Record 1'!C" &amp; ROW()))</f>
        <v/>
      </c>
      <c r="C609" s="8" t="str" cm="1">
        <f t="array" aca="1" ref="C609" ca="1">IF(INDIRECT("'Student_Record 1'!E" &amp; ROW())="", "", INDIRECT("'Student_Record 1'!E" &amp; ROW()))</f>
        <v/>
      </c>
      <c r="D609" s="8" t="str" cm="1">
        <f t="array" aca="1" ref="D609" ca="1">IF(INDIRECT("'Student_Record 1'!G" &amp; ROW())="", "", INDIRECT("'Student_Record 1'!G" &amp; ROW()))</f>
        <v/>
      </c>
      <c r="E609" s="8" t="str" cm="1">
        <f t="array" aca="1" ref="E609" ca="1">IF(INDIRECT("'Student_Record 1'!I" &amp; ROW())="", "", INDIRECT("'Student_Record 1'!I" &amp; ROW()))</f>
        <v/>
      </c>
      <c r="F609" s="8" t="str" cm="1">
        <f t="array" aca="1" ref="F609" ca="1">IF(INDIRECT("'Student_Record 1'!O" &amp; ROW())="", "", INDIRECT("'Student_Record 1'!O" &amp; ROW()))</f>
        <v/>
      </c>
      <c r="G609" s="11"/>
      <c r="I609" s="11"/>
      <c r="J609" s="11"/>
      <c r="K609" s="11"/>
      <c r="L609" s="11"/>
      <c r="M609" s="11"/>
      <c r="N609" s="11"/>
      <c r="O609" s="11"/>
      <c r="P609" s="11"/>
      <c r="Q609" s="11"/>
    </row>
    <row r="610" spans="1:17" x14ac:dyDescent="0.25">
      <c r="A610" s="8" t="str" cm="1">
        <f t="array" aca="1" ref="A610" ca="1">IF(INDIRECT("'Student_Record 1'!A" &amp; ROW())="", "", INDIRECT("'Student_Record 1'!A" &amp; ROW()))</f>
        <v/>
      </c>
      <c r="B610" s="8" t="str" cm="1">
        <f t="array" aca="1" ref="B610" ca="1">IF(INDIRECT("'Student_Record 1'!C" &amp; ROW())="", "", INDIRECT("'Student_Record 1'!C" &amp; ROW()))</f>
        <v/>
      </c>
      <c r="C610" s="8" t="str" cm="1">
        <f t="array" aca="1" ref="C610" ca="1">IF(INDIRECT("'Student_Record 1'!E" &amp; ROW())="", "", INDIRECT("'Student_Record 1'!E" &amp; ROW()))</f>
        <v/>
      </c>
      <c r="D610" s="8" t="str" cm="1">
        <f t="array" aca="1" ref="D610" ca="1">IF(INDIRECT("'Student_Record 1'!G" &amp; ROW())="", "", INDIRECT("'Student_Record 1'!G" &amp; ROW()))</f>
        <v/>
      </c>
      <c r="E610" s="8" t="str" cm="1">
        <f t="array" aca="1" ref="E610" ca="1">IF(INDIRECT("'Student_Record 1'!I" &amp; ROW())="", "", INDIRECT("'Student_Record 1'!I" &amp; ROW()))</f>
        <v/>
      </c>
      <c r="F610" s="8" t="str" cm="1">
        <f t="array" aca="1" ref="F610" ca="1">IF(INDIRECT("'Student_Record 1'!O" &amp; ROW())="", "", INDIRECT("'Student_Record 1'!O" &amp; ROW()))</f>
        <v/>
      </c>
      <c r="G610" s="11"/>
      <c r="I610" s="11"/>
      <c r="J610" s="11"/>
      <c r="K610" s="11"/>
      <c r="L610" s="11"/>
      <c r="M610" s="11"/>
      <c r="N610" s="11"/>
      <c r="O610" s="11"/>
      <c r="P610" s="11"/>
      <c r="Q610" s="11"/>
    </row>
    <row r="611" spans="1:17" x14ac:dyDescent="0.25">
      <c r="A611" s="8" t="str" cm="1">
        <f t="array" aca="1" ref="A611" ca="1">IF(INDIRECT("'Student_Record 1'!A" &amp; ROW())="", "", INDIRECT("'Student_Record 1'!A" &amp; ROW()))</f>
        <v/>
      </c>
      <c r="B611" s="8" t="str" cm="1">
        <f t="array" aca="1" ref="B611" ca="1">IF(INDIRECT("'Student_Record 1'!C" &amp; ROW())="", "", INDIRECT("'Student_Record 1'!C" &amp; ROW()))</f>
        <v/>
      </c>
      <c r="C611" s="8" t="str" cm="1">
        <f t="array" aca="1" ref="C611" ca="1">IF(INDIRECT("'Student_Record 1'!E" &amp; ROW())="", "", INDIRECT("'Student_Record 1'!E" &amp; ROW()))</f>
        <v/>
      </c>
      <c r="D611" s="8" t="str" cm="1">
        <f t="array" aca="1" ref="D611" ca="1">IF(INDIRECT("'Student_Record 1'!G" &amp; ROW())="", "", INDIRECT("'Student_Record 1'!G" &amp; ROW()))</f>
        <v/>
      </c>
      <c r="E611" s="8" t="str" cm="1">
        <f t="array" aca="1" ref="E611" ca="1">IF(INDIRECT("'Student_Record 1'!I" &amp; ROW())="", "", INDIRECT("'Student_Record 1'!I" &amp; ROW()))</f>
        <v/>
      </c>
      <c r="F611" s="8" t="str" cm="1">
        <f t="array" aca="1" ref="F611" ca="1">IF(INDIRECT("'Student_Record 1'!O" &amp; ROW())="", "", INDIRECT("'Student_Record 1'!O" &amp; ROW()))</f>
        <v/>
      </c>
      <c r="G611" s="11"/>
      <c r="I611" s="11"/>
      <c r="J611" s="11"/>
      <c r="K611" s="11"/>
      <c r="L611" s="11"/>
      <c r="M611" s="11"/>
      <c r="N611" s="11"/>
      <c r="O611" s="11"/>
      <c r="P611" s="11"/>
      <c r="Q611" s="11"/>
    </row>
    <row r="612" spans="1:17" x14ac:dyDescent="0.25">
      <c r="A612" s="8" t="str" cm="1">
        <f t="array" aca="1" ref="A612" ca="1">IF(INDIRECT("'Student_Record 1'!A" &amp; ROW())="", "", INDIRECT("'Student_Record 1'!A" &amp; ROW()))</f>
        <v/>
      </c>
      <c r="B612" s="8" t="str" cm="1">
        <f t="array" aca="1" ref="B612" ca="1">IF(INDIRECT("'Student_Record 1'!C" &amp; ROW())="", "", INDIRECT("'Student_Record 1'!C" &amp; ROW()))</f>
        <v/>
      </c>
      <c r="C612" s="8" t="str" cm="1">
        <f t="array" aca="1" ref="C612" ca="1">IF(INDIRECT("'Student_Record 1'!E" &amp; ROW())="", "", INDIRECT("'Student_Record 1'!E" &amp; ROW()))</f>
        <v/>
      </c>
      <c r="D612" s="8" t="str" cm="1">
        <f t="array" aca="1" ref="D612" ca="1">IF(INDIRECT("'Student_Record 1'!G" &amp; ROW())="", "", INDIRECT("'Student_Record 1'!G" &amp; ROW()))</f>
        <v/>
      </c>
      <c r="E612" s="8" t="str" cm="1">
        <f t="array" aca="1" ref="E612" ca="1">IF(INDIRECT("'Student_Record 1'!I" &amp; ROW())="", "", INDIRECT("'Student_Record 1'!I" &amp; ROW()))</f>
        <v/>
      </c>
      <c r="F612" s="8" t="str" cm="1">
        <f t="array" aca="1" ref="F612" ca="1">IF(INDIRECT("'Student_Record 1'!O" &amp; ROW())="", "", INDIRECT("'Student_Record 1'!O" &amp; ROW()))</f>
        <v/>
      </c>
      <c r="G612" s="11"/>
      <c r="I612" s="11"/>
      <c r="J612" s="11"/>
      <c r="K612" s="11"/>
      <c r="L612" s="11"/>
      <c r="M612" s="11"/>
      <c r="N612" s="11"/>
      <c r="O612" s="11"/>
      <c r="P612" s="11"/>
      <c r="Q612" s="11"/>
    </row>
    <row r="613" spans="1:17" x14ac:dyDescent="0.25">
      <c r="A613" s="8" t="str" cm="1">
        <f t="array" aca="1" ref="A613" ca="1">IF(INDIRECT("'Student_Record 1'!A" &amp; ROW())="", "", INDIRECT("'Student_Record 1'!A" &amp; ROW()))</f>
        <v/>
      </c>
      <c r="B613" s="8" t="str" cm="1">
        <f t="array" aca="1" ref="B613" ca="1">IF(INDIRECT("'Student_Record 1'!C" &amp; ROW())="", "", INDIRECT("'Student_Record 1'!C" &amp; ROW()))</f>
        <v/>
      </c>
      <c r="C613" s="8" t="str" cm="1">
        <f t="array" aca="1" ref="C613" ca="1">IF(INDIRECT("'Student_Record 1'!E" &amp; ROW())="", "", INDIRECT("'Student_Record 1'!E" &amp; ROW()))</f>
        <v/>
      </c>
      <c r="D613" s="8" t="str" cm="1">
        <f t="array" aca="1" ref="D613" ca="1">IF(INDIRECT("'Student_Record 1'!G" &amp; ROW())="", "", INDIRECT("'Student_Record 1'!G" &amp; ROW()))</f>
        <v/>
      </c>
      <c r="E613" s="8" t="str" cm="1">
        <f t="array" aca="1" ref="E613" ca="1">IF(INDIRECT("'Student_Record 1'!I" &amp; ROW())="", "", INDIRECT("'Student_Record 1'!I" &amp; ROW()))</f>
        <v/>
      </c>
      <c r="F613" s="8" t="str" cm="1">
        <f t="array" aca="1" ref="F613" ca="1">IF(INDIRECT("'Student_Record 1'!O" &amp; ROW())="", "", INDIRECT("'Student_Record 1'!O" &amp; ROW()))</f>
        <v/>
      </c>
      <c r="G613" s="11"/>
      <c r="I613" s="11"/>
      <c r="J613" s="11"/>
      <c r="K613" s="11"/>
      <c r="L613" s="11"/>
      <c r="M613" s="11"/>
      <c r="N613" s="11"/>
      <c r="O613" s="11"/>
      <c r="P613" s="11"/>
      <c r="Q613" s="11"/>
    </row>
    <row r="614" spans="1:17" x14ac:dyDescent="0.25">
      <c r="A614" s="8" t="str" cm="1">
        <f t="array" aca="1" ref="A614" ca="1">IF(INDIRECT("'Student_Record 1'!A" &amp; ROW())="", "", INDIRECT("'Student_Record 1'!A" &amp; ROW()))</f>
        <v/>
      </c>
      <c r="B614" s="8" t="str" cm="1">
        <f t="array" aca="1" ref="B614" ca="1">IF(INDIRECT("'Student_Record 1'!C" &amp; ROW())="", "", INDIRECT("'Student_Record 1'!C" &amp; ROW()))</f>
        <v/>
      </c>
      <c r="C614" s="8" t="str" cm="1">
        <f t="array" aca="1" ref="C614" ca="1">IF(INDIRECT("'Student_Record 1'!E" &amp; ROW())="", "", INDIRECT("'Student_Record 1'!E" &amp; ROW()))</f>
        <v/>
      </c>
      <c r="D614" s="8" t="str" cm="1">
        <f t="array" aca="1" ref="D614" ca="1">IF(INDIRECT("'Student_Record 1'!G" &amp; ROW())="", "", INDIRECT("'Student_Record 1'!G" &amp; ROW()))</f>
        <v/>
      </c>
      <c r="E614" s="8" t="str" cm="1">
        <f t="array" aca="1" ref="E614" ca="1">IF(INDIRECT("'Student_Record 1'!I" &amp; ROW())="", "", INDIRECT("'Student_Record 1'!I" &amp; ROW()))</f>
        <v/>
      </c>
      <c r="F614" s="8" t="str" cm="1">
        <f t="array" aca="1" ref="F614" ca="1">IF(INDIRECT("'Student_Record 1'!O" &amp; ROW())="", "", INDIRECT("'Student_Record 1'!O" &amp; ROW()))</f>
        <v/>
      </c>
      <c r="G614" s="11"/>
      <c r="I614" s="11"/>
      <c r="J614" s="11"/>
      <c r="K614" s="11"/>
      <c r="L614" s="11"/>
      <c r="M614" s="11"/>
      <c r="N614" s="11"/>
      <c r="O614" s="11"/>
      <c r="P614" s="11"/>
      <c r="Q614" s="11"/>
    </row>
    <row r="615" spans="1:17" x14ac:dyDescent="0.25">
      <c r="A615" s="8" t="str" cm="1">
        <f t="array" aca="1" ref="A615" ca="1">IF(INDIRECT("'Student_Record 1'!A" &amp; ROW())="", "", INDIRECT("'Student_Record 1'!A" &amp; ROW()))</f>
        <v/>
      </c>
      <c r="B615" s="8" t="str" cm="1">
        <f t="array" aca="1" ref="B615" ca="1">IF(INDIRECT("'Student_Record 1'!C" &amp; ROW())="", "", INDIRECT("'Student_Record 1'!C" &amp; ROW()))</f>
        <v/>
      </c>
      <c r="C615" s="8" t="str" cm="1">
        <f t="array" aca="1" ref="C615" ca="1">IF(INDIRECT("'Student_Record 1'!E" &amp; ROW())="", "", INDIRECT("'Student_Record 1'!E" &amp; ROW()))</f>
        <v/>
      </c>
      <c r="D615" s="8" t="str" cm="1">
        <f t="array" aca="1" ref="D615" ca="1">IF(INDIRECT("'Student_Record 1'!G" &amp; ROW())="", "", INDIRECT("'Student_Record 1'!G" &amp; ROW()))</f>
        <v/>
      </c>
      <c r="E615" s="8" t="str" cm="1">
        <f t="array" aca="1" ref="E615" ca="1">IF(INDIRECT("'Student_Record 1'!I" &amp; ROW())="", "", INDIRECT("'Student_Record 1'!I" &amp; ROW()))</f>
        <v/>
      </c>
      <c r="F615" s="8" t="str" cm="1">
        <f t="array" aca="1" ref="F615" ca="1">IF(INDIRECT("'Student_Record 1'!O" &amp; ROW())="", "", INDIRECT("'Student_Record 1'!O" &amp; ROW()))</f>
        <v/>
      </c>
      <c r="G615" s="11"/>
      <c r="I615" s="11"/>
      <c r="J615" s="11"/>
      <c r="K615" s="11"/>
      <c r="L615" s="11"/>
      <c r="M615" s="11"/>
      <c r="N615" s="11"/>
      <c r="O615" s="11"/>
      <c r="P615" s="11"/>
      <c r="Q615" s="11"/>
    </row>
    <row r="616" spans="1:17" x14ac:dyDescent="0.25">
      <c r="A616" s="8" t="str" cm="1">
        <f t="array" aca="1" ref="A616" ca="1">IF(INDIRECT("'Student_Record 1'!A" &amp; ROW())="", "", INDIRECT("'Student_Record 1'!A" &amp; ROW()))</f>
        <v/>
      </c>
      <c r="B616" s="8" t="str" cm="1">
        <f t="array" aca="1" ref="B616" ca="1">IF(INDIRECT("'Student_Record 1'!C" &amp; ROW())="", "", INDIRECT("'Student_Record 1'!C" &amp; ROW()))</f>
        <v/>
      </c>
      <c r="C616" s="8" t="str" cm="1">
        <f t="array" aca="1" ref="C616" ca="1">IF(INDIRECT("'Student_Record 1'!E" &amp; ROW())="", "", INDIRECT("'Student_Record 1'!E" &amp; ROW()))</f>
        <v/>
      </c>
      <c r="D616" s="8" t="str" cm="1">
        <f t="array" aca="1" ref="D616" ca="1">IF(INDIRECT("'Student_Record 1'!G" &amp; ROW())="", "", INDIRECT("'Student_Record 1'!G" &amp; ROW()))</f>
        <v/>
      </c>
      <c r="E616" s="8" t="str" cm="1">
        <f t="array" aca="1" ref="E616" ca="1">IF(INDIRECT("'Student_Record 1'!I" &amp; ROW())="", "", INDIRECT("'Student_Record 1'!I" &amp; ROW()))</f>
        <v/>
      </c>
      <c r="F616" s="8" t="str" cm="1">
        <f t="array" aca="1" ref="F616" ca="1">IF(INDIRECT("'Student_Record 1'!O" &amp; ROW())="", "", INDIRECT("'Student_Record 1'!O" &amp; ROW()))</f>
        <v/>
      </c>
      <c r="G616" s="11"/>
      <c r="I616" s="11"/>
      <c r="J616" s="11"/>
      <c r="K616" s="11"/>
      <c r="L616" s="11"/>
      <c r="M616" s="11"/>
      <c r="N616" s="11"/>
      <c r="O616" s="11"/>
      <c r="P616" s="11"/>
      <c r="Q616" s="11"/>
    </row>
    <row r="617" spans="1:17" x14ac:dyDescent="0.25">
      <c r="A617" s="8" t="str" cm="1">
        <f t="array" aca="1" ref="A617" ca="1">IF(INDIRECT("'Student_Record 1'!A" &amp; ROW())="", "", INDIRECT("'Student_Record 1'!A" &amp; ROW()))</f>
        <v/>
      </c>
      <c r="B617" s="8" t="str" cm="1">
        <f t="array" aca="1" ref="B617" ca="1">IF(INDIRECT("'Student_Record 1'!C" &amp; ROW())="", "", INDIRECT("'Student_Record 1'!C" &amp; ROW()))</f>
        <v/>
      </c>
      <c r="C617" s="8" t="str" cm="1">
        <f t="array" aca="1" ref="C617" ca="1">IF(INDIRECT("'Student_Record 1'!E" &amp; ROW())="", "", INDIRECT("'Student_Record 1'!E" &amp; ROW()))</f>
        <v/>
      </c>
      <c r="D617" s="8" t="str" cm="1">
        <f t="array" aca="1" ref="D617" ca="1">IF(INDIRECT("'Student_Record 1'!G" &amp; ROW())="", "", INDIRECT("'Student_Record 1'!G" &amp; ROW()))</f>
        <v/>
      </c>
      <c r="E617" s="8" t="str" cm="1">
        <f t="array" aca="1" ref="E617" ca="1">IF(INDIRECT("'Student_Record 1'!I" &amp; ROW())="", "", INDIRECT("'Student_Record 1'!I" &amp; ROW()))</f>
        <v/>
      </c>
      <c r="F617" s="8" t="str" cm="1">
        <f t="array" aca="1" ref="F617" ca="1">IF(INDIRECT("'Student_Record 1'!O" &amp; ROW())="", "", INDIRECT("'Student_Record 1'!O" &amp; ROW()))</f>
        <v/>
      </c>
      <c r="G617" s="11"/>
      <c r="I617" s="11"/>
      <c r="J617" s="11"/>
      <c r="K617" s="11"/>
      <c r="L617" s="11"/>
      <c r="M617" s="11"/>
      <c r="N617" s="11"/>
      <c r="O617" s="11"/>
      <c r="P617" s="11"/>
      <c r="Q617" s="11"/>
    </row>
    <row r="618" spans="1:17" x14ac:dyDescent="0.25">
      <c r="A618" s="8" t="str" cm="1">
        <f t="array" aca="1" ref="A618" ca="1">IF(INDIRECT("'Student_Record 1'!A" &amp; ROW())="", "", INDIRECT("'Student_Record 1'!A" &amp; ROW()))</f>
        <v/>
      </c>
      <c r="B618" s="8" t="str" cm="1">
        <f t="array" aca="1" ref="B618" ca="1">IF(INDIRECT("'Student_Record 1'!C" &amp; ROW())="", "", INDIRECT("'Student_Record 1'!C" &amp; ROW()))</f>
        <v/>
      </c>
      <c r="C618" s="8" t="str" cm="1">
        <f t="array" aca="1" ref="C618" ca="1">IF(INDIRECT("'Student_Record 1'!E" &amp; ROW())="", "", INDIRECT("'Student_Record 1'!E" &amp; ROW()))</f>
        <v/>
      </c>
      <c r="D618" s="8" t="str" cm="1">
        <f t="array" aca="1" ref="D618" ca="1">IF(INDIRECT("'Student_Record 1'!G" &amp; ROW())="", "", INDIRECT("'Student_Record 1'!G" &amp; ROW()))</f>
        <v/>
      </c>
      <c r="E618" s="8" t="str" cm="1">
        <f t="array" aca="1" ref="E618" ca="1">IF(INDIRECT("'Student_Record 1'!I" &amp; ROW())="", "", INDIRECT("'Student_Record 1'!I" &amp; ROW()))</f>
        <v/>
      </c>
      <c r="F618" s="8" t="str" cm="1">
        <f t="array" aca="1" ref="F618" ca="1">IF(INDIRECT("'Student_Record 1'!O" &amp; ROW())="", "", INDIRECT("'Student_Record 1'!O" &amp; ROW()))</f>
        <v/>
      </c>
      <c r="G618" s="11"/>
      <c r="I618" s="11"/>
      <c r="J618" s="11"/>
      <c r="K618" s="11"/>
      <c r="L618" s="11"/>
      <c r="M618" s="11"/>
      <c r="N618" s="11"/>
      <c r="O618" s="11"/>
      <c r="P618" s="11"/>
      <c r="Q618" s="11"/>
    </row>
    <row r="619" spans="1:17" x14ac:dyDescent="0.25">
      <c r="A619" s="8" t="str" cm="1">
        <f t="array" aca="1" ref="A619" ca="1">IF(INDIRECT("'Student_Record 1'!A" &amp; ROW())="", "", INDIRECT("'Student_Record 1'!A" &amp; ROW()))</f>
        <v/>
      </c>
      <c r="B619" s="8" t="str" cm="1">
        <f t="array" aca="1" ref="B619" ca="1">IF(INDIRECT("'Student_Record 1'!C" &amp; ROW())="", "", INDIRECT("'Student_Record 1'!C" &amp; ROW()))</f>
        <v/>
      </c>
      <c r="C619" s="8" t="str" cm="1">
        <f t="array" aca="1" ref="C619" ca="1">IF(INDIRECT("'Student_Record 1'!E" &amp; ROW())="", "", INDIRECT("'Student_Record 1'!E" &amp; ROW()))</f>
        <v/>
      </c>
      <c r="D619" s="8" t="str" cm="1">
        <f t="array" aca="1" ref="D619" ca="1">IF(INDIRECT("'Student_Record 1'!G" &amp; ROW())="", "", INDIRECT("'Student_Record 1'!G" &amp; ROW()))</f>
        <v/>
      </c>
      <c r="E619" s="8" t="str" cm="1">
        <f t="array" aca="1" ref="E619" ca="1">IF(INDIRECT("'Student_Record 1'!I" &amp; ROW())="", "", INDIRECT("'Student_Record 1'!I" &amp; ROW()))</f>
        <v/>
      </c>
      <c r="F619" s="8" t="str" cm="1">
        <f t="array" aca="1" ref="F619" ca="1">IF(INDIRECT("'Student_Record 1'!O" &amp; ROW())="", "", INDIRECT("'Student_Record 1'!O" &amp; ROW()))</f>
        <v/>
      </c>
      <c r="G619" s="11"/>
      <c r="I619" s="11"/>
      <c r="J619" s="11"/>
      <c r="K619" s="11"/>
      <c r="L619" s="11"/>
      <c r="M619" s="11"/>
      <c r="N619" s="11"/>
      <c r="O619" s="11"/>
      <c r="P619" s="11"/>
      <c r="Q619" s="11"/>
    </row>
    <row r="620" spans="1:17" x14ac:dyDescent="0.25">
      <c r="A620" s="8" t="str" cm="1">
        <f t="array" aca="1" ref="A620" ca="1">IF(INDIRECT("'Student_Record 1'!A" &amp; ROW())="", "", INDIRECT("'Student_Record 1'!A" &amp; ROW()))</f>
        <v/>
      </c>
      <c r="B620" s="8" t="str" cm="1">
        <f t="array" aca="1" ref="B620" ca="1">IF(INDIRECT("'Student_Record 1'!C" &amp; ROW())="", "", INDIRECT("'Student_Record 1'!C" &amp; ROW()))</f>
        <v/>
      </c>
      <c r="C620" s="8" t="str" cm="1">
        <f t="array" aca="1" ref="C620" ca="1">IF(INDIRECT("'Student_Record 1'!E" &amp; ROW())="", "", INDIRECT("'Student_Record 1'!E" &amp; ROW()))</f>
        <v/>
      </c>
      <c r="D620" s="8" t="str" cm="1">
        <f t="array" aca="1" ref="D620" ca="1">IF(INDIRECT("'Student_Record 1'!G" &amp; ROW())="", "", INDIRECT("'Student_Record 1'!G" &amp; ROW()))</f>
        <v/>
      </c>
      <c r="E620" s="8" t="str" cm="1">
        <f t="array" aca="1" ref="E620" ca="1">IF(INDIRECT("'Student_Record 1'!I" &amp; ROW())="", "", INDIRECT("'Student_Record 1'!I" &amp; ROW()))</f>
        <v/>
      </c>
      <c r="F620" s="8" t="str" cm="1">
        <f t="array" aca="1" ref="F620" ca="1">IF(INDIRECT("'Student_Record 1'!O" &amp; ROW())="", "", INDIRECT("'Student_Record 1'!O" &amp; ROW()))</f>
        <v/>
      </c>
      <c r="G620" s="11"/>
      <c r="I620" s="11"/>
      <c r="J620" s="11"/>
      <c r="K620" s="11"/>
      <c r="L620" s="11"/>
      <c r="M620" s="11"/>
      <c r="N620" s="11"/>
      <c r="O620" s="11"/>
      <c r="P620" s="11"/>
      <c r="Q620" s="11"/>
    </row>
    <row r="621" spans="1:17" x14ac:dyDescent="0.25">
      <c r="A621" s="8" t="str" cm="1">
        <f t="array" aca="1" ref="A621" ca="1">IF(INDIRECT("'Student_Record 1'!A" &amp; ROW())="", "", INDIRECT("'Student_Record 1'!A" &amp; ROW()))</f>
        <v/>
      </c>
      <c r="B621" s="8" t="str" cm="1">
        <f t="array" aca="1" ref="B621" ca="1">IF(INDIRECT("'Student_Record 1'!C" &amp; ROW())="", "", INDIRECT("'Student_Record 1'!C" &amp; ROW()))</f>
        <v/>
      </c>
      <c r="C621" s="8" t="str" cm="1">
        <f t="array" aca="1" ref="C621" ca="1">IF(INDIRECT("'Student_Record 1'!E" &amp; ROW())="", "", INDIRECT("'Student_Record 1'!E" &amp; ROW()))</f>
        <v/>
      </c>
      <c r="D621" s="8" t="str" cm="1">
        <f t="array" aca="1" ref="D621" ca="1">IF(INDIRECT("'Student_Record 1'!G" &amp; ROW())="", "", INDIRECT("'Student_Record 1'!G" &amp; ROW()))</f>
        <v/>
      </c>
      <c r="E621" s="8" t="str" cm="1">
        <f t="array" aca="1" ref="E621" ca="1">IF(INDIRECT("'Student_Record 1'!I" &amp; ROW())="", "", INDIRECT("'Student_Record 1'!I" &amp; ROW()))</f>
        <v/>
      </c>
      <c r="F621" s="8" t="str" cm="1">
        <f t="array" aca="1" ref="F621" ca="1">IF(INDIRECT("'Student_Record 1'!O" &amp; ROW())="", "", INDIRECT("'Student_Record 1'!O" &amp; ROW()))</f>
        <v/>
      </c>
      <c r="G621" s="11"/>
      <c r="I621" s="11"/>
      <c r="J621" s="11"/>
      <c r="K621" s="11"/>
      <c r="L621" s="11"/>
      <c r="M621" s="11"/>
      <c r="N621" s="11"/>
      <c r="O621" s="11"/>
      <c r="P621" s="11"/>
      <c r="Q621" s="11"/>
    </row>
    <row r="622" spans="1:17" x14ac:dyDescent="0.25">
      <c r="A622" s="8" t="str" cm="1">
        <f t="array" aca="1" ref="A622" ca="1">IF(INDIRECT("'Student_Record 1'!A" &amp; ROW())="", "", INDIRECT("'Student_Record 1'!A" &amp; ROW()))</f>
        <v/>
      </c>
      <c r="B622" s="8" t="str" cm="1">
        <f t="array" aca="1" ref="B622" ca="1">IF(INDIRECT("'Student_Record 1'!C" &amp; ROW())="", "", INDIRECT("'Student_Record 1'!C" &amp; ROW()))</f>
        <v/>
      </c>
      <c r="C622" s="8" t="str" cm="1">
        <f t="array" aca="1" ref="C622" ca="1">IF(INDIRECT("'Student_Record 1'!E" &amp; ROW())="", "", INDIRECT("'Student_Record 1'!E" &amp; ROW()))</f>
        <v/>
      </c>
      <c r="D622" s="8" t="str" cm="1">
        <f t="array" aca="1" ref="D622" ca="1">IF(INDIRECT("'Student_Record 1'!G" &amp; ROW())="", "", INDIRECT("'Student_Record 1'!G" &amp; ROW()))</f>
        <v/>
      </c>
      <c r="E622" s="8" t="str" cm="1">
        <f t="array" aca="1" ref="E622" ca="1">IF(INDIRECT("'Student_Record 1'!I" &amp; ROW())="", "", INDIRECT("'Student_Record 1'!I" &amp; ROW()))</f>
        <v/>
      </c>
      <c r="F622" s="8" t="str" cm="1">
        <f t="array" aca="1" ref="F622" ca="1">IF(INDIRECT("'Student_Record 1'!O" &amp; ROW())="", "", INDIRECT("'Student_Record 1'!O" &amp; ROW()))</f>
        <v/>
      </c>
      <c r="G622" s="11"/>
      <c r="I622" s="11"/>
      <c r="J622" s="11"/>
      <c r="K622" s="11"/>
      <c r="L622" s="11"/>
      <c r="M622" s="11"/>
      <c r="N622" s="11"/>
      <c r="O622" s="11"/>
      <c r="P622" s="11"/>
      <c r="Q622" s="11"/>
    </row>
    <row r="623" spans="1:17" x14ac:dyDescent="0.25">
      <c r="A623" s="8" t="str" cm="1">
        <f t="array" aca="1" ref="A623" ca="1">IF(INDIRECT("'Student_Record 1'!A" &amp; ROW())="", "", INDIRECT("'Student_Record 1'!A" &amp; ROW()))</f>
        <v/>
      </c>
      <c r="B623" s="8" t="str" cm="1">
        <f t="array" aca="1" ref="B623" ca="1">IF(INDIRECT("'Student_Record 1'!C" &amp; ROW())="", "", INDIRECT("'Student_Record 1'!C" &amp; ROW()))</f>
        <v/>
      </c>
      <c r="C623" s="8" t="str" cm="1">
        <f t="array" aca="1" ref="C623" ca="1">IF(INDIRECT("'Student_Record 1'!E" &amp; ROW())="", "", INDIRECT("'Student_Record 1'!E" &amp; ROW()))</f>
        <v/>
      </c>
      <c r="D623" s="8" t="str" cm="1">
        <f t="array" aca="1" ref="D623" ca="1">IF(INDIRECT("'Student_Record 1'!G" &amp; ROW())="", "", INDIRECT("'Student_Record 1'!G" &amp; ROW()))</f>
        <v/>
      </c>
      <c r="E623" s="8" t="str" cm="1">
        <f t="array" aca="1" ref="E623" ca="1">IF(INDIRECT("'Student_Record 1'!I" &amp; ROW())="", "", INDIRECT("'Student_Record 1'!I" &amp; ROW()))</f>
        <v/>
      </c>
      <c r="F623" s="8" t="str" cm="1">
        <f t="array" aca="1" ref="F623" ca="1">IF(INDIRECT("'Student_Record 1'!O" &amp; ROW())="", "", INDIRECT("'Student_Record 1'!O" &amp; ROW()))</f>
        <v/>
      </c>
      <c r="G623" s="11"/>
      <c r="I623" s="11"/>
      <c r="J623" s="11"/>
      <c r="K623" s="11"/>
      <c r="L623" s="11"/>
      <c r="M623" s="11"/>
      <c r="N623" s="11"/>
      <c r="O623" s="11"/>
      <c r="P623" s="11"/>
      <c r="Q623" s="11"/>
    </row>
    <row r="624" spans="1:17" x14ac:dyDescent="0.25">
      <c r="A624" s="8" t="str" cm="1">
        <f t="array" aca="1" ref="A624" ca="1">IF(INDIRECT("'Student_Record 1'!A" &amp; ROW())="", "", INDIRECT("'Student_Record 1'!A" &amp; ROW()))</f>
        <v/>
      </c>
      <c r="B624" s="8" t="str" cm="1">
        <f t="array" aca="1" ref="B624" ca="1">IF(INDIRECT("'Student_Record 1'!C" &amp; ROW())="", "", INDIRECT("'Student_Record 1'!C" &amp; ROW()))</f>
        <v/>
      </c>
      <c r="C624" s="8" t="str" cm="1">
        <f t="array" aca="1" ref="C624" ca="1">IF(INDIRECT("'Student_Record 1'!E" &amp; ROW())="", "", INDIRECT("'Student_Record 1'!E" &amp; ROW()))</f>
        <v/>
      </c>
      <c r="D624" s="8" t="str" cm="1">
        <f t="array" aca="1" ref="D624" ca="1">IF(INDIRECT("'Student_Record 1'!G" &amp; ROW())="", "", INDIRECT("'Student_Record 1'!G" &amp; ROW()))</f>
        <v/>
      </c>
      <c r="E624" s="8" t="str" cm="1">
        <f t="array" aca="1" ref="E624" ca="1">IF(INDIRECT("'Student_Record 1'!I" &amp; ROW())="", "", INDIRECT("'Student_Record 1'!I" &amp; ROW()))</f>
        <v/>
      </c>
      <c r="F624" s="8" t="str" cm="1">
        <f t="array" aca="1" ref="F624" ca="1">IF(INDIRECT("'Student_Record 1'!O" &amp; ROW())="", "", INDIRECT("'Student_Record 1'!O" &amp; ROW()))</f>
        <v/>
      </c>
      <c r="G624" s="11"/>
      <c r="I624" s="11"/>
      <c r="J624" s="11"/>
      <c r="K624" s="11"/>
      <c r="L624" s="11"/>
      <c r="M624" s="11"/>
      <c r="N624" s="11"/>
      <c r="O624" s="11"/>
      <c r="P624" s="11"/>
      <c r="Q624" s="11"/>
    </row>
    <row r="625" spans="1:17" x14ac:dyDescent="0.25">
      <c r="A625" s="8" t="str" cm="1">
        <f t="array" aca="1" ref="A625" ca="1">IF(INDIRECT("'Student_Record 1'!A" &amp; ROW())="", "", INDIRECT("'Student_Record 1'!A" &amp; ROW()))</f>
        <v/>
      </c>
      <c r="B625" s="8" t="str" cm="1">
        <f t="array" aca="1" ref="B625" ca="1">IF(INDIRECT("'Student_Record 1'!C" &amp; ROW())="", "", INDIRECT("'Student_Record 1'!C" &amp; ROW()))</f>
        <v/>
      </c>
      <c r="C625" s="8" t="str" cm="1">
        <f t="array" aca="1" ref="C625" ca="1">IF(INDIRECT("'Student_Record 1'!E" &amp; ROW())="", "", INDIRECT("'Student_Record 1'!E" &amp; ROW()))</f>
        <v/>
      </c>
      <c r="D625" s="8" t="str" cm="1">
        <f t="array" aca="1" ref="D625" ca="1">IF(INDIRECT("'Student_Record 1'!G" &amp; ROW())="", "", INDIRECT("'Student_Record 1'!G" &amp; ROW()))</f>
        <v/>
      </c>
      <c r="E625" s="8" t="str" cm="1">
        <f t="array" aca="1" ref="E625" ca="1">IF(INDIRECT("'Student_Record 1'!I" &amp; ROW())="", "", INDIRECT("'Student_Record 1'!I" &amp; ROW()))</f>
        <v/>
      </c>
      <c r="F625" s="8" t="str" cm="1">
        <f t="array" aca="1" ref="F625" ca="1">IF(INDIRECT("'Student_Record 1'!O" &amp; ROW())="", "", INDIRECT("'Student_Record 1'!O" &amp; ROW()))</f>
        <v/>
      </c>
      <c r="G625" s="11"/>
      <c r="I625" s="11"/>
      <c r="J625" s="11"/>
      <c r="K625" s="11"/>
      <c r="L625" s="11"/>
      <c r="M625" s="11"/>
      <c r="N625" s="11"/>
      <c r="O625" s="11"/>
      <c r="P625" s="11"/>
      <c r="Q625" s="11"/>
    </row>
    <row r="626" spans="1:17" x14ac:dyDescent="0.25">
      <c r="A626" s="8" t="str" cm="1">
        <f t="array" aca="1" ref="A626" ca="1">IF(INDIRECT("'Student_Record 1'!A" &amp; ROW())="", "", INDIRECT("'Student_Record 1'!A" &amp; ROW()))</f>
        <v/>
      </c>
      <c r="B626" s="8" t="str" cm="1">
        <f t="array" aca="1" ref="B626" ca="1">IF(INDIRECT("'Student_Record 1'!C" &amp; ROW())="", "", INDIRECT("'Student_Record 1'!C" &amp; ROW()))</f>
        <v/>
      </c>
      <c r="C626" s="8" t="str" cm="1">
        <f t="array" aca="1" ref="C626" ca="1">IF(INDIRECT("'Student_Record 1'!E" &amp; ROW())="", "", INDIRECT("'Student_Record 1'!E" &amp; ROW()))</f>
        <v/>
      </c>
      <c r="D626" s="8" t="str" cm="1">
        <f t="array" aca="1" ref="D626" ca="1">IF(INDIRECT("'Student_Record 1'!G" &amp; ROW())="", "", INDIRECT("'Student_Record 1'!G" &amp; ROW()))</f>
        <v/>
      </c>
      <c r="E626" s="8" t="str" cm="1">
        <f t="array" aca="1" ref="E626" ca="1">IF(INDIRECT("'Student_Record 1'!I" &amp; ROW())="", "", INDIRECT("'Student_Record 1'!I" &amp; ROW()))</f>
        <v/>
      </c>
      <c r="F626" s="8" t="str" cm="1">
        <f t="array" aca="1" ref="F626" ca="1">IF(INDIRECT("'Student_Record 1'!O" &amp; ROW())="", "", INDIRECT("'Student_Record 1'!O" &amp; ROW()))</f>
        <v/>
      </c>
      <c r="G626" s="11"/>
      <c r="I626" s="11"/>
      <c r="J626" s="11"/>
      <c r="K626" s="11"/>
      <c r="L626" s="11"/>
      <c r="M626" s="11"/>
      <c r="N626" s="11"/>
      <c r="O626" s="11"/>
      <c r="P626" s="11"/>
      <c r="Q626" s="11"/>
    </row>
    <row r="627" spans="1:17" x14ac:dyDescent="0.25">
      <c r="A627" s="8" t="str" cm="1">
        <f t="array" aca="1" ref="A627" ca="1">IF(INDIRECT("'Student_Record 1'!A" &amp; ROW())="", "", INDIRECT("'Student_Record 1'!A" &amp; ROW()))</f>
        <v/>
      </c>
      <c r="B627" s="8" t="str" cm="1">
        <f t="array" aca="1" ref="B627" ca="1">IF(INDIRECT("'Student_Record 1'!C" &amp; ROW())="", "", INDIRECT("'Student_Record 1'!C" &amp; ROW()))</f>
        <v/>
      </c>
      <c r="C627" s="8" t="str" cm="1">
        <f t="array" aca="1" ref="C627" ca="1">IF(INDIRECT("'Student_Record 1'!E" &amp; ROW())="", "", INDIRECT("'Student_Record 1'!E" &amp; ROW()))</f>
        <v/>
      </c>
      <c r="D627" s="8" t="str" cm="1">
        <f t="array" aca="1" ref="D627" ca="1">IF(INDIRECT("'Student_Record 1'!G" &amp; ROW())="", "", INDIRECT("'Student_Record 1'!G" &amp; ROW()))</f>
        <v/>
      </c>
      <c r="E627" s="8" t="str" cm="1">
        <f t="array" aca="1" ref="E627" ca="1">IF(INDIRECT("'Student_Record 1'!I" &amp; ROW())="", "", INDIRECT("'Student_Record 1'!I" &amp; ROW()))</f>
        <v/>
      </c>
      <c r="F627" s="8" t="str" cm="1">
        <f t="array" aca="1" ref="F627" ca="1">IF(INDIRECT("'Student_Record 1'!O" &amp; ROW())="", "", INDIRECT("'Student_Record 1'!O" &amp; ROW()))</f>
        <v/>
      </c>
      <c r="G627" s="11"/>
      <c r="I627" s="11"/>
      <c r="J627" s="11"/>
      <c r="K627" s="11"/>
      <c r="L627" s="11"/>
      <c r="M627" s="11"/>
      <c r="N627" s="11"/>
      <c r="O627" s="11"/>
      <c r="P627" s="11"/>
      <c r="Q627" s="11"/>
    </row>
    <row r="628" spans="1:17" x14ac:dyDescent="0.25">
      <c r="A628" s="8" t="str" cm="1">
        <f t="array" aca="1" ref="A628" ca="1">IF(INDIRECT("'Student_Record 1'!A" &amp; ROW())="", "", INDIRECT("'Student_Record 1'!A" &amp; ROW()))</f>
        <v/>
      </c>
      <c r="B628" s="8" t="str" cm="1">
        <f t="array" aca="1" ref="B628" ca="1">IF(INDIRECT("'Student_Record 1'!C" &amp; ROW())="", "", INDIRECT("'Student_Record 1'!C" &amp; ROW()))</f>
        <v/>
      </c>
      <c r="C628" s="8" t="str" cm="1">
        <f t="array" aca="1" ref="C628" ca="1">IF(INDIRECT("'Student_Record 1'!E" &amp; ROW())="", "", INDIRECT("'Student_Record 1'!E" &amp; ROW()))</f>
        <v/>
      </c>
      <c r="D628" s="8" t="str" cm="1">
        <f t="array" aca="1" ref="D628" ca="1">IF(INDIRECT("'Student_Record 1'!G" &amp; ROW())="", "", INDIRECT("'Student_Record 1'!G" &amp; ROW()))</f>
        <v/>
      </c>
      <c r="E628" s="8" t="str" cm="1">
        <f t="array" aca="1" ref="E628" ca="1">IF(INDIRECT("'Student_Record 1'!I" &amp; ROW())="", "", INDIRECT("'Student_Record 1'!I" &amp; ROW()))</f>
        <v/>
      </c>
      <c r="F628" s="8" t="str" cm="1">
        <f t="array" aca="1" ref="F628" ca="1">IF(INDIRECT("'Student_Record 1'!O" &amp; ROW())="", "", INDIRECT("'Student_Record 1'!O" &amp; ROW()))</f>
        <v/>
      </c>
      <c r="G628" s="11"/>
      <c r="I628" s="11"/>
      <c r="J628" s="11"/>
      <c r="K628" s="11"/>
      <c r="L628" s="11"/>
      <c r="M628" s="11"/>
      <c r="N628" s="11"/>
      <c r="O628" s="11"/>
      <c r="P628" s="11"/>
      <c r="Q628" s="11"/>
    </row>
    <row r="629" spans="1:17" x14ac:dyDescent="0.25">
      <c r="A629" s="8" t="str" cm="1">
        <f t="array" aca="1" ref="A629" ca="1">IF(INDIRECT("'Student_Record 1'!A" &amp; ROW())="", "", INDIRECT("'Student_Record 1'!A" &amp; ROW()))</f>
        <v/>
      </c>
      <c r="B629" s="8" t="str" cm="1">
        <f t="array" aca="1" ref="B629" ca="1">IF(INDIRECT("'Student_Record 1'!C" &amp; ROW())="", "", INDIRECT("'Student_Record 1'!C" &amp; ROW()))</f>
        <v/>
      </c>
      <c r="C629" s="8" t="str" cm="1">
        <f t="array" aca="1" ref="C629" ca="1">IF(INDIRECT("'Student_Record 1'!E" &amp; ROW())="", "", INDIRECT("'Student_Record 1'!E" &amp; ROW()))</f>
        <v/>
      </c>
      <c r="D629" s="8" t="str" cm="1">
        <f t="array" aca="1" ref="D629" ca="1">IF(INDIRECT("'Student_Record 1'!G" &amp; ROW())="", "", INDIRECT("'Student_Record 1'!G" &amp; ROW()))</f>
        <v/>
      </c>
      <c r="E629" s="8" t="str" cm="1">
        <f t="array" aca="1" ref="E629" ca="1">IF(INDIRECT("'Student_Record 1'!I" &amp; ROW())="", "", INDIRECT("'Student_Record 1'!I" &amp; ROW()))</f>
        <v/>
      </c>
      <c r="F629" s="8" t="str" cm="1">
        <f t="array" aca="1" ref="F629" ca="1">IF(INDIRECT("'Student_Record 1'!O" &amp; ROW())="", "", INDIRECT("'Student_Record 1'!O" &amp; ROW()))</f>
        <v/>
      </c>
      <c r="G629" s="11"/>
      <c r="I629" s="11"/>
      <c r="J629" s="11"/>
      <c r="K629" s="11"/>
      <c r="L629" s="11"/>
      <c r="M629" s="11"/>
      <c r="N629" s="11"/>
      <c r="O629" s="11"/>
      <c r="P629" s="11"/>
      <c r="Q629" s="11"/>
    </row>
    <row r="630" spans="1:17" x14ac:dyDescent="0.25">
      <c r="A630" s="8" t="str" cm="1">
        <f t="array" aca="1" ref="A630" ca="1">IF(INDIRECT("'Student_Record 1'!A" &amp; ROW())="", "", INDIRECT("'Student_Record 1'!A" &amp; ROW()))</f>
        <v/>
      </c>
      <c r="B630" s="8" t="str" cm="1">
        <f t="array" aca="1" ref="B630" ca="1">IF(INDIRECT("'Student_Record 1'!C" &amp; ROW())="", "", INDIRECT("'Student_Record 1'!C" &amp; ROW()))</f>
        <v/>
      </c>
      <c r="C630" s="8" t="str" cm="1">
        <f t="array" aca="1" ref="C630" ca="1">IF(INDIRECT("'Student_Record 1'!E" &amp; ROW())="", "", INDIRECT("'Student_Record 1'!E" &amp; ROW()))</f>
        <v/>
      </c>
      <c r="D630" s="8" t="str" cm="1">
        <f t="array" aca="1" ref="D630" ca="1">IF(INDIRECT("'Student_Record 1'!G" &amp; ROW())="", "", INDIRECT("'Student_Record 1'!G" &amp; ROW()))</f>
        <v/>
      </c>
      <c r="E630" s="8" t="str" cm="1">
        <f t="array" aca="1" ref="E630" ca="1">IF(INDIRECT("'Student_Record 1'!I" &amp; ROW())="", "", INDIRECT("'Student_Record 1'!I" &amp; ROW()))</f>
        <v/>
      </c>
      <c r="F630" s="8" t="str" cm="1">
        <f t="array" aca="1" ref="F630" ca="1">IF(INDIRECT("'Student_Record 1'!O" &amp; ROW())="", "", INDIRECT("'Student_Record 1'!O" &amp; ROW()))</f>
        <v/>
      </c>
      <c r="G630" s="11"/>
      <c r="I630" s="11"/>
      <c r="J630" s="11"/>
      <c r="K630" s="11"/>
      <c r="L630" s="11"/>
      <c r="M630" s="11"/>
      <c r="N630" s="11"/>
      <c r="O630" s="11"/>
      <c r="P630" s="11"/>
      <c r="Q630" s="11"/>
    </row>
    <row r="631" spans="1:17" x14ac:dyDescent="0.25">
      <c r="A631" s="8" t="str" cm="1">
        <f t="array" aca="1" ref="A631" ca="1">IF(INDIRECT("'Student_Record 1'!A" &amp; ROW())="", "", INDIRECT("'Student_Record 1'!A" &amp; ROW()))</f>
        <v/>
      </c>
      <c r="B631" s="8" t="str" cm="1">
        <f t="array" aca="1" ref="B631" ca="1">IF(INDIRECT("'Student_Record 1'!C" &amp; ROW())="", "", INDIRECT("'Student_Record 1'!C" &amp; ROW()))</f>
        <v/>
      </c>
      <c r="C631" s="8" t="str" cm="1">
        <f t="array" aca="1" ref="C631" ca="1">IF(INDIRECT("'Student_Record 1'!E" &amp; ROW())="", "", INDIRECT("'Student_Record 1'!E" &amp; ROW()))</f>
        <v/>
      </c>
      <c r="D631" s="8" t="str" cm="1">
        <f t="array" aca="1" ref="D631" ca="1">IF(INDIRECT("'Student_Record 1'!G" &amp; ROW())="", "", INDIRECT("'Student_Record 1'!G" &amp; ROW()))</f>
        <v/>
      </c>
      <c r="E631" s="8" t="str" cm="1">
        <f t="array" aca="1" ref="E631" ca="1">IF(INDIRECT("'Student_Record 1'!I" &amp; ROW())="", "", INDIRECT("'Student_Record 1'!I" &amp; ROW()))</f>
        <v/>
      </c>
      <c r="F631" s="8" t="str" cm="1">
        <f t="array" aca="1" ref="F631" ca="1">IF(INDIRECT("'Student_Record 1'!O" &amp; ROW())="", "", INDIRECT("'Student_Record 1'!O" &amp; ROW()))</f>
        <v/>
      </c>
      <c r="G631" s="11"/>
      <c r="I631" s="11"/>
      <c r="J631" s="11"/>
      <c r="K631" s="11"/>
      <c r="L631" s="11"/>
      <c r="M631" s="11"/>
      <c r="N631" s="11"/>
      <c r="O631" s="11"/>
      <c r="P631" s="11"/>
      <c r="Q631" s="11"/>
    </row>
    <row r="632" spans="1:17" x14ac:dyDescent="0.25">
      <c r="A632" s="8" t="str" cm="1">
        <f t="array" aca="1" ref="A632" ca="1">IF(INDIRECT("'Student_Record 1'!A" &amp; ROW())="", "", INDIRECT("'Student_Record 1'!A" &amp; ROW()))</f>
        <v/>
      </c>
      <c r="B632" s="8" t="str" cm="1">
        <f t="array" aca="1" ref="B632" ca="1">IF(INDIRECT("'Student_Record 1'!C" &amp; ROW())="", "", INDIRECT("'Student_Record 1'!C" &amp; ROW()))</f>
        <v/>
      </c>
      <c r="C632" s="8" t="str" cm="1">
        <f t="array" aca="1" ref="C632" ca="1">IF(INDIRECT("'Student_Record 1'!E" &amp; ROW())="", "", INDIRECT("'Student_Record 1'!E" &amp; ROW()))</f>
        <v/>
      </c>
      <c r="D632" s="8" t="str" cm="1">
        <f t="array" aca="1" ref="D632" ca="1">IF(INDIRECT("'Student_Record 1'!G" &amp; ROW())="", "", INDIRECT("'Student_Record 1'!G" &amp; ROW()))</f>
        <v/>
      </c>
      <c r="E632" s="8" t="str" cm="1">
        <f t="array" aca="1" ref="E632" ca="1">IF(INDIRECT("'Student_Record 1'!I" &amp; ROW())="", "", INDIRECT("'Student_Record 1'!I" &amp; ROW()))</f>
        <v/>
      </c>
      <c r="F632" s="8" t="str" cm="1">
        <f t="array" aca="1" ref="F632" ca="1">IF(INDIRECT("'Student_Record 1'!O" &amp; ROW())="", "", INDIRECT("'Student_Record 1'!O" &amp; ROW()))</f>
        <v/>
      </c>
      <c r="G632" s="11"/>
      <c r="I632" s="11"/>
      <c r="J632" s="11"/>
      <c r="K632" s="11"/>
      <c r="L632" s="11"/>
      <c r="M632" s="11"/>
      <c r="N632" s="11"/>
      <c r="O632" s="11"/>
      <c r="P632" s="11"/>
      <c r="Q632" s="11"/>
    </row>
    <row r="633" spans="1:17" x14ac:dyDescent="0.25">
      <c r="A633" s="8" t="str" cm="1">
        <f t="array" aca="1" ref="A633" ca="1">IF(INDIRECT("'Student_Record 1'!A" &amp; ROW())="", "", INDIRECT("'Student_Record 1'!A" &amp; ROW()))</f>
        <v/>
      </c>
      <c r="B633" s="8" t="str" cm="1">
        <f t="array" aca="1" ref="B633" ca="1">IF(INDIRECT("'Student_Record 1'!C" &amp; ROW())="", "", INDIRECT("'Student_Record 1'!C" &amp; ROW()))</f>
        <v/>
      </c>
      <c r="C633" s="8" t="str" cm="1">
        <f t="array" aca="1" ref="C633" ca="1">IF(INDIRECT("'Student_Record 1'!E" &amp; ROW())="", "", INDIRECT("'Student_Record 1'!E" &amp; ROW()))</f>
        <v/>
      </c>
      <c r="D633" s="8" t="str" cm="1">
        <f t="array" aca="1" ref="D633" ca="1">IF(INDIRECT("'Student_Record 1'!G" &amp; ROW())="", "", INDIRECT("'Student_Record 1'!G" &amp; ROW()))</f>
        <v/>
      </c>
      <c r="E633" s="8" t="str" cm="1">
        <f t="array" aca="1" ref="E633" ca="1">IF(INDIRECT("'Student_Record 1'!I" &amp; ROW())="", "", INDIRECT("'Student_Record 1'!I" &amp; ROW()))</f>
        <v/>
      </c>
      <c r="F633" s="8" t="str" cm="1">
        <f t="array" aca="1" ref="F633" ca="1">IF(INDIRECT("'Student_Record 1'!O" &amp; ROW())="", "", INDIRECT("'Student_Record 1'!O" &amp; ROW()))</f>
        <v/>
      </c>
      <c r="G633" s="11"/>
      <c r="I633" s="11"/>
      <c r="J633" s="11"/>
      <c r="K633" s="11"/>
      <c r="L633" s="11"/>
      <c r="M633" s="11"/>
      <c r="N633" s="11"/>
      <c r="O633" s="11"/>
      <c r="P633" s="11"/>
      <c r="Q633" s="11"/>
    </row>
    <row r="634" spans="1:17" x14ac:dyDescent="0.25">
      <c r="A634" s="8" t="str" cm="1">
        <f t="array" aca="1" ref="A634" ca="1">IF(INDIRECT("'Student_Record 1'!A" &amp; ROW())="", "", INDIRECT("'Student_Record 1'!A" &amp; ROW()))</f>
        <v/>
      </c>
      <c r="B634" s="8" t="str" cm="1">
        <f t="array" aca="1" ref="B634" ca="1">IF(INDIRECT("'Student_Record 1'!C" &amp; ROW())="", "", INDIRECT("'Student_Record 1'!C" &amp; ROW()))</f>
        <v/>
      </c>
      <c r="C634" s="8" t="str" cm="1">
        <f t="array" aca="1" ref="C634" ca="1">IF(INDIRECT("'Student_Record 1'!E" &amp; ROW())="", "", INDIRECT("'Student_Record 1'!E" &amp; ROW()))</f>
        <v/>
      </c>
      <c r="D634" s="8" t="str" cm="1">
        <f t="array" aca="1" ref="D634" ca="1">IF(INDIRECT("'Student_Record 1'!G" &amp; ROW())="", "", INDIRECT("'Student_Record 1'!G" &amp; ROW()))</f>
        <v/>
      </c>
      <c r="E634" s="8" t="str" cm="1">
        <f t="array" aca="1" ref="E634" ca="1">IF(INDIRECT("'Student_Record 1'!I" &amp; ROW())="", "", INDIRECT("'Student_Record 1'!I" &amp; ROW()))</f>
        <v/>
      </c>
      <c r="F634" s="8" t="str" cm="1">
        <f t="array" aca="1" ref="F634" ca="1">IF(INDIRECT("'Student_Record 1'!O" &amp; ROW())="", "", INDIRECT("'Student_Record 1'!O" &amp; ROW()))</f>
        <v/>
      </c>
      <c r="G634" s="11"/>
      <c r="I634" s="11"/>
      <c r="J634" s="11"/>
      <c r="K634" s="11"/>
      <c r="L634" s="11"/>
      <c r="M634" s="11"/>
      <c r="N634" s="11"/>
      <c r="O634" s="11"/>
      <c r="P634" s="11"/>
      <c r="Q634" s="11"/>
    </row>
    <row r="635" spans="1:17" x14ac:dyDescent="0.25">
      <c r="A635" s="8" t="str" cm="1">
        <f t="array" aca="1" ref="A635" ca="1">IF(INDIRECT("'Student_Record 1'!A" &amp; ROW())="", "", INDIRECT("'Student_Record 1'!A" &amp; ROW()))</f>
        <v/>
      </c>
      <c r="B635" s="8" t="str" cm="1">
        <f t="array" aca="1" ref="B635" ca="1">IF(INDIRECT("'Student_Record 1'!C" &amp; ROW())="", "", INDIRECT("'Student_Record 1'!C" &amp; ROW()))</f>
        <v/>
      </c>
      <c r="C635" s="8" t="str" cm="1">
        <f t="array" aca="1" ref="C635" ca="1">IF(INDIRECT("'Student_Record 1'!E" &amp; ROW())="", "", INDIRECT("'Student_Record 1'!E" &amp; ROW()))</f>
        <v/>
      </c>
      <c r="D635" s="8" t="str" cm="1">
        <f t="array" aca="1" ref="D635" ca="1">IF(INDIRECT("'Student_Record 1'!G" &amp; ROW())="", "", INDIRECT("'Student_Record 1'!G" &amp; ROW()))</f>
        <v/>
      </c>
      <c r="E635" s="8" t="str" cm="1">
        <f t="array" aca="1" ref="E635" ca="1">IF(INDIRECT("'Student_Record 1'!I" &amp; ROW())="", "", INDIRECT("'Student_Record 1'!I" &amp; ROW()))</f>
        <v/>
      </c>
      <c r="F635" s="8" t="str" cm="1">
        <f t="array" aca="1" ref="F635" ca="1">IF(INDIRECT("'Student_Record 1'!O" &amp; ROW())="", "", INDIRECT("'Student_Record 1'!O" &amp; ROW()))</f>
        <v/>
      </c>
      <c r="G635" s="11"/>
      <c r="I635" s="11"/>
      <c r="J635" s="11"/>
      <c r="K635" s="11"/>
      <c r="L635" s="11"/>
      <c r="M635" s="11"/>
      <c r="N635" s="11"/>
      <c r="O635" s="11"/>
      <c r="P635" s="11"/>
      <c r="Q635" s="11"/>
    </row>
    <row r="636" spans="1:17" x14ac:dyDescent="0.25">
      <c r="A636" s="8" t="str" cm="1">
        <f t="array" aca="1" ref="A636" ca="1">IF(INDIRECT("'Student_Record 1'!A" &amp; ROW())="", "", INDIRECT("'Student_Record 1'!A" &amp; ROW()))</f>
        <v/>
      </c>
      <c r="B636" s="8" t="str" cm="1">
        <f t="array" aca="1" ref="B636" ca="1">IF(INDIRECT("'Student_Record 1'!C" &amp; ROW())="", "", INDIRECT("'Student_Record 1'!C" &amp; ROW()))</f>
        <v/>
      </c>
      <c r="C636" s="8" t="str" cm="1">
        <f t="array" aca="1" ref="C636" ca="1">IF(INDIRECT("'Student_Record 1'!E" &amp; ROW())="", "", INDIRECT("'Student_Record 1'!E" &amp; ROW()))</f>
        <v/>
      </c>
      <c r="D636" s="8" t="str" cm="1">
        <f t="array" aca="1" ref="D636" ca="1">IF(INDIRECT("'Student_Record 1'!G" &amp; ROW())="", "", INDIRECT("'Student_Record 1'!G" &amp; ROW()))</f>
        <v/>
      </c>
      <c r="E636" s="8" t="str" cm="1">
        <f t="array" aca="1" ref="E636" ca="1">IF(INDIRECT("'Student_Record 1'!I" &amp; ROW())="", "", INDIRECT("'Student_Record 1'!I" &amp; ROW()))</f>
        <v/>
      </c>
      <c r="F636" s="8" t="str" cm="1">
        <f t="array" aca="1" ref="F636" ca="1">IF(INDIRECT("'Student_Record 1'!O" &amp; ROW())="", "", INDIRECT("'Student_Record 1'!O" &amp; ROW()))</f>
        <v/>
      </c>
      <c r="G636" s="11"/>
      <c r="I636" s="11"/>
      <c r="J636" s="11"/>
      <c r="K636" s="11"/>
      <c r="L636" s="11"/>
      <c r="M636" s="11"/>
      <c r="N636" s="11"/>
      <c r="O636" s="11"/>
      <c r="P636" s="11"/>
      <c r="Q636" s="11"/>
    </row>
    <row r="637" spans="1:17" x14ac:dyDescent="0.25">
      <c r="A637" s="8" t="str" cm="1">
        <f t="array" aca="1" ref="A637" ca="1">IF(INDIRECT("'Student_Record 1'!A" &amp; ROW())="", "", INDIRECT("'Student_Record 1'!A" &amp; ROW()))</f>
        <v/>
      </c>
      <c r="B637" s="8" t="str" cm="1">
        <f t="array" aca="1" ref="B637" ca="1">IF(INDIRECT("'Student_Record 1'!C" &amp; ROW())="", "", INDIRECT("'Student_Record 1'!C" &amp; ROW()))</f>
        <v/>
      </c>
      <c r="C637" s="8" t="str" cm="1">
        <f t="array" aca="1" ref="C637" ca="1">IF(INDIRECT("'Student_Record 1'!E" &amp; ROW())="", "", INDIRECT("'Student_Record 1'!E" &amp; ROW()))</f>
        <v/>
      </c>
      <c r="D637" s="8" t="str" cm="1">
        <f t="array" aca="1" ref="D637" ca="1">IF(INDIRECT("'Student_Record 1'!G" &amp; ROW())="", "", INDIRECT("'Student_Record 1'!G" &amp; ROW()))</f>
        <v/>
      </c>
      <c r="E637" s="8" t="str" cm="1">
        <f t="array" aca="1" ref="E637" ca="1">IF(INDIRECT("'Student_Record 1'!I" &amp; ROW())="", "", INDIRECT("'Student_Record 1'!I" &amp; ROW()))</f>
        <v/>
      </c>
      <c r="F637" s="8" t="str" cm="1">
        <f t="array" aca="1" ref="F637" ca="1">IF(INDIRECT("'Student_Record 1'!O" &amp; ROW())="", "", INDIRECT("'Student_Record 1'!O" &amp; ROW()))</f>
        <v/>
      </c>
      <c r="G637" s="11"/>
      <c r="I637" s="11"/>
      <c r="J637" s="11"/>
      <c r="K637" s="11"/>
      <c r="L637" s="11"/>
      <c r="M637" s="11"/>
      <c r="N637" s="11"/>
      <c r="O637" s="11"/>
      <c r="P637" s="11"/>
      <c r="Q637" s="11"/>
    </row>
    <row r="638" spans="1:17" x14ac:dyDescent="0.25">
      <c r="A638" s="8" t="str" cm="1">
        <f t="array" aca="1" ref="A638" ca="1">IF(INDIRECT("'Student_Record 1'!A" &amp; ROW())="", "", INDIRECT("'Student_Record 1'!A" &amp; ROW()))</f>
        <v/>
      </c>
      <c r="B638" s="8" t="str" cm="1">
        <f t="array" aca="1" ref="B638" ca="1">IF(INDIRECT("'Student_Record 1'!C" &amp; ROW())="", "", INDIRECT("'Student_Record 1'!C" &amp; ROW()))</f>
        <v/>
      </c>
      <c r="C638" s="8" t="str" cm="1">
        <f t="array" aca="1" ref="C638" ca="1">IF(INDIRECT("'Student_Record 1'!E" &amp; ROW())="", "", INDIRECT("'Student_Record 1'!E" &amp; ROW()))</f>
        <v/>
      </c>
      <c r="D638" s="8" t="str" cm="1">
        <f t="array" aca="1" ref="D638" ca="1">IF(INDIRECT("'Student_Record 1'!G" &amp; ROW())="", "", INDIRECT("'Student_Record 1'!G" &amp; ROW()))</f>
        <v/>
      </c>
      <c r="E638" s="8" t="str" cm="1">
        <f t="array" aca="1" ref="E638" ca="1">IF(INDIRECT("'Student_Record 1'!I" &amp; ROW())="", "", INDIRECT("'Student_Record 1'!I" &amp; ROW()))</f>
        <v/>
      </c>
      <c r="F638" s="8" t="str" cm="1">
        <f t="array" aca="1" ref="F638" ca="1">IF(INDIRECT("'Student_Record 1'!O" &amp; ROW())="", "", INDIRECT("'Student_Record 1'!O" &amp; ROW()))</f>
        <v/>
      </c>
      <c r="G638" s="11"/>
      <c r="I638" s="11"/>
      <c r="J638" s="11"/>
      <c r="K638" s="11"/>
      <c r="L638" s="11"/>
      <c r="M638" s="11"/>
      <c r="N638" s="11"/>
      <c r="O638" s="11"/>
      <c r="P638" s="11"/>
      <c r="Q638" s="11"/>
    </row>
    <row r="639" spans="1:17" x14ac:dyDescent="0.25">
      <c r="A639" s="8" t="str" cm="1">
        <f t="array" aca="1" ref="A639" ca="1">IF(INDIRECT("'Student_Record 1'!A" &amp; ROW())="", "", INDIRECT("'Student_Record 1'!A" &amp; ROW()))</f>
        <v/>
      </c>
      <c r="B639" s="8" t="str" cm="1">
        <f t="array" aca="1" ref="B639" ca="1">IF(INDIRECT("'Student_Record 1'!C" &amp; ROW())="", "", INDIRECT("'Student_Record 1'!C" &amp; ROW()))</f>
        <v/>
      </c>
      <c r="C639" s="8" t="str" cm="1">
        <f t="array" aca="1" ref="C639" ca="1">IF(INDIRECT("'Student_Record 1'!E" &amp; ROW())="", "", INDIRECT("'Student_Record 1'!E" &amp; ROW()))</f>
        <v/>
      </c>
      <c r="D639" s="8" t="str" cm="1">
        <f t="array" aca="1" ref="D639" ca="1">IF(INDIRECT("'Student_Record 1'!G" &amp; ROW())="", "", INDIRECT("'Student_Record 1'!G" &amp; ROW()))</f>
        <v/>
      </c>
      <c r="E639" s="8" t="str" cm="1">
        <f t="array" aca="1" ref="E639" ca="1">IF(INDIRECT("'Student_Record 1'!I" &amp; ROW())="", "", INDIRECT("'Student_Record 1'!I" &amp; ROW()))</f>
        <v/>
      </c>
      <c r="F639" s="8" t="str" cm="1">
        <f t="array" aca="1" ref="F639" ca="1">IF(INDIRECT("'Student_Record 1'!O" &amp; ROW())="", "", INDIRECT("'Student_Record 1'!O" &amp; ROW()))</f>
        <v/>
      </c>
      <c r="G639" s="11"/>
      <c r="I639" s="11"/>
      <c r="J639" s="11"/>
      <c r="K639" s="11"/>
      <c r="L639" s="11"/>
      <c r="M639" s="11"/>
      <c r="N639" s="11"/>
      <c r="O639" s="11"/>
      <c r="P639" s="11"/>
      <c r="Q639" s="11"/>
    </row>
    <row r="640" spans="1:17" x14ac:dyDescent="0.25">
      <c r="A640" s="8" t="str" cm="1">
        <f t="array" aca="1" ref="A640" ca="1">IF(INDIRECT("'Student_Record 1'!A" &amp; ROW())="", "", INDIRECT("'Student_Record 1'!A" &amp; ROW()))</f>
        <v/>
      </c>
      <c r="B640" s="8" t="str" cm="1">
        <f t="array" aca="1" ref="B640" ca="1">IF(INDIRECT("'Student_Record 1'!C" &amp; ROW())="", "", INDIRECT("'Student_Record 1'!C" &amp; ROW()))</f>
        <v/>
      </c>
      <c r="C640" s="8" t="str" cm="1">
        <f t="array" aca="1" ref="C640" ca="1">IF(INDIRECT("'Student_Record 1'!E" &amp; ROW())="", "", INDIRECT("'Student_Record 1'!E" &amp; ROW()))</f>
        <v/>
      </c>
      <c r="D640" s="8" t="str" cm="1">
        <f t="array" aca="1" ref="D640" ca="1">IF(INDIRECT("'Student_Record 1'!G" &amp; ROW())="", "", INDIRECT("'Student_Record 1'!G" &amp; ROW()))</f>
        <v/>
      </c>
      <c r="E640" s="8" t="str" cm="1">
        <f t="array" aca="1" ref="E640" ca="1">IF(INDIRECT("'Student_Record 1'!I" &amp; ROW())="", "", INDIRECT("'Student_Record 1'!I" &amp; ROW()))</f>
        <v/>
      </c>
      <c r="F640" s="8" t="str" cm="1">
        <f t="array" aca="1" ref="F640" ca="1">IF(INDIRECT("'Student_Record 1'!O" &amp; ROW())="", "", INDIRECT("'Student_Record 1'!O" &amp; ROW()))</f>
        <v/>
      </c>
      <c r="G640" s="11"/>
      <c r="I640" s="11"/>
      <c r="J640" s="11"/>
      <c r="K640" s="11"/>
      <c r="L640" s="11"/>
      <c r="M640" s="11"/>
      <c r="N640" s="11"/>
      <c r="O640" s="11"/>
      <c r="P640" s="11"/>
      <c r="Q640" s="11"/>
    </row>
    <row r="641" spans="1:17" x14ac:dyDescent="0.25">
      <c r="A641" s="8" t="str" cm="1">
        <f t="array" aca="1" ref="A641" ca="1">IF(INDIRECT("'Student_Record 1'!A" &amp; ROW())="", "", INDIRECT("'Student_Record 1'!A" &amp; ROW()))</f>
        <v/>
      </c>
      <c r="B641" s="8" t="str" cm="1">
        <f t="array" aca="1" ref="B641" ca="1">IF(INDIRECT("'Student_Record 1'!C" &amp; ROW())="", "", INDIRECT("'Student_Record 1'!C" &amp; ROW()))</f>
        <v/>
      </c>
      <c r="C641" s="8" t="str" cm="1">
        <f t="array" aca="1" ref="C641" ca="1">IF(INDIRECT("'Student_Record 1'!E" &amp; ROW())="", "", INDIRECT("'Student_Record 1'!E" &amp; ROW()))</f>
        <v/>
      </c>
      <c r="D641" s="8" t="str" cm="1">
        <f t="array" aca="1" ref="D641" ca="1">IF(INDIRECT("'Student_Record 1'!G" &amp; ROW())="", "", INDIRECT("'Student_Record 1'!G" &amp; ROW()))</f>
        <v/>
      </c>
      <c r="E641" s="8" t="str" cm="1">
        <f t="array" aca="1" ref="E641" ca="1">IF(INDIRECT("'Student_Record 1'!I" &amp; ROW())="", "", INDIRECT("'Student_Record 1'!I" &amp; ROW()))</f>
        <v/>
      </c>
      <c r="F641" s="8" t="str" cm="1">
        <f t="array" aca="1" ref="F641" ca="1">IF(INDIRECT("'Student_Record 1'!O" &amp; ROW())="", "", INDIRECT("'Student_Record 1'!O" &amp; ROW()))</f>
        <v/>
      </c>
      <c r="G641" s="11"/>
      <c r="I641" s="11"/>
      <c r="J641" s="11"/>
      <c r="K641" s="11"/>
      <c r="L641" s="11"/>
      <c r="M641" s="11"/>
      <c r="N641" s="11"/>
      <c r="O641" s="11"/>
      <c r="P641" s="11"/>
      <c r="Q641" s="11"/>
    </row>
    <row r="642" spans="1:17" x14ac:dyDescent="0.25">
      <c r="A642" s="8" t="str" cm="1">
        <f t="array" aca="1" ref="A642" ca="1">IF(INDIRECT("'Student_Record 1'!A" &amp; ROW())="", "", INDIRECT("'Student_Record 1'!A" &amp; ROW()))</f>
        <v/>
      </c>
      <c r="B642" s="8" t="str" cm="1">
        <f t="array" aca="1" ref="B642" ca="1">IF(INDIRECT("'Student_Record 1'!C" &amp; ROW())="", "", INDIRECT("'Student_Record 1'!C" &amp; ROW()))</f>
        <v/>
      </c>
      <c r="C642" s="8" t="str" cm="1">
        <f t="array" aca="1" ref="C642" ca="1">IF(INDIRECT("'Student_Record 1'!E" &amp; ROW())="", "", INDIRECT("'Student_Record 1'!E" &amp; ROW()))</f>
        <v/>
      </c>
      <c r="D642" s="8" t="str" cm="1">
        <f t="array" aca="1" ref="D642" ca="1">IF(INDIRECT("'Student_Record 1'!G" &amp; ROW())="", "", INDIRECT("'Student_Record 1'!G" &amp; ROW()))</f>
        <v/>
      </c>
      <c r="E642" s="8" t="str" cm="1">
        <f t="array" aca="1" ref="E642" ca="1">IF(INDIRECT("'Student_Record 1'!I" &amp; ROW())="", "", INDIRECT("'Student_Record 1'!I" &amp; ROW()))</f>
        <v/>
      </c>
      <c r="F642" s="8" t="str" cm="1">
        <f t="array" aca="1" ref="F642" ca="1">IF(INDIRECT("'Student_Record 1'!O" &amp; ROW())="", "", INDIRECT("'Student_Record 1'!O" &amp; ROW()))</f>
        <v/>
      </c>
      <c r="G642" s="11"/>
      <c r="I642" s="11"/>
      <c r="J642" s="11"/>
      <c r="K642" s="11"/>
      <c r="L642" s="11"/>
      <c r="M642" s="11"/>
      <c r="N642" s="11"/>
      <c r="O642" s="11"/>
      <c r="P642" s="11"/>
      <c r="Q642" s="11"/>
    </row>
    <row r="643" spans="1:17" x14ac:dyDescent="0.25">
      <c r="A643" s="8" t="str" cm="1">
        <f t="array" aca="1" ref="A643" ca="1">IF(INDIRECT("'Student_Record 1'!A" &amp; ROW())="", "", INDIRECT("'Student_Record 1'!A" &amp; ROW()))</f>
        <v/>
      </c>
      <c r="B643" s="8" t="str" cm="1">
        <f t="array" aca="1" ref="B643" ca="1">IF(INDIRECT("'Student_Record 1'!C" &amp; ROW())="", "", INDIRECT("'Student_Record 1'!C" &amp; ROW()))</f>
        <v/>
      </c>
      <c r="C643" s="8" t="str" cm="1">
        <f t="array" aca="1" ref="C643" ca="1">IF(INDIRECT("'Student_Record 1'!E" &amp; ROW())="", "", INDIRECT("'Student_Record 1'!E" &amp; ROW()))</f>
        <v/>
      </c>
      <c r="D643" s="8" t="str" cm="1">
        <f t="array" aca="1" ref="D643" ca="1">IF(INDIRECT("'Student_Record 1'!G" &amp; ROW())="", "", INDIRECT("'Student_Record 1'!G" &amp; ROW()))</f>
        <v/>
      </c>
      <c r="E643" s="8" t="str" cm="1">
        <f t="array" aca="1" ref="E643" ca="1">IF(INDIRECT("'Student_Record 1'!I" &amp; ROW())="", "", INDIRECT("'Student_Record 1'!I" &amp; ROW()))</f>
        <v/>
      </c>
      <c r="F643" s="8" t="str" cm="1">
        <f t="array" aca="1" ref="F643" ca="1">IF(INDIRECT("'Student_Record 1'!O" &amp; ROW())="", "", INDIRECT("'Student_Record 1'!O" &amp; ROW()))</f>
        <v/>
      </c>
      <c r="G643" s="11"/>
      <c r="I643" s="11"/>
      <c r="J643" s="11"/>
      <c r="K643" s="11"/>
      <c r="L643" s="11"/>
      <c r="M643" s="11"/>
      <c r="N643" s="11"/>
      <c r="O643" s="11"/>
      <c r="P643" s="11"/>
      <c r="Q643" s="11"/>
    </row>
    <row r="644" spans="1:17" x14ac:dyDescent="0.25">
      <c r="A644" s="8" t="str" cm="1">
        <f t="array" aca="1" ref="A644" ca="1">IF(INDIRECT("'Student_Record 1'!A" &amp; ROW())="", "", INDIRECT("'Student_Record 1'!A" &amp; ROW()))</f>
        <v/>
      </c>
      <c r="B644" s="8" t="str" cm="1">
        <f t="array" aca="1" ref="B644" ca="1">IF(INDIRECT("'Student_Record 1'!C" &amp; ROW())="", "", INDIRECT("'Student_Record 1'!C" &amp; ROW()))</f>
        <v/>
      </c>
      <c r="C644" s="8" t="str" cm="1">
        <f t="array" aca="1" ref="C644" ca="1">IF(INDIRECT("'Student_Record 1'!E" &amp; ROW())="", "", INDIRECT("'Student_Record 1'!E" &amp; ROW()))</f>
        <v/>
      </c>
      <c r="D644" s="8" t="str" cm="1">
        <f t="array" aca="1" ref="D644" ca="1">IF(INDIRECT("'Student_Record 1'!G" &amp; ROW())="", "", INDIRECT("'Student_Record 1'!G" &amp; ROW()))</f>
        <v/>
      </c>
      <c r="E644" s="8" t="str" cm="1">
        <f t="array" aca="1" ref="E644" ca="1">IF(INDIRECT("'Student_Record 1'!I" &amp; ROW())="", "", INDIRECT("'Student_Record 1'!I" &amp; ROW()))</f>
        <v/>
      </c>
      <c r="F644" s="8" t="str" cm="1">
        <f t="array" aca="1" ref="F644" ca="1">IF(INDIRECT("'Student_Record 1'!O" &amp; ROW())="", "", INDIRECT("'Student_Record 1'!O" &amp; ROW()))</f>
        <v/>
      </c>
      <c r="G644" s="11"/>
      <c r="I644" s="11"/>
      <c r="J644" s="11"/>
      <c r="K644" s="11"/>
      <c r="L644" s="11"/>
      <c r="M644" s="11"/>
      <c r="N644" s="11"/>
      <c r="O644" s="11"/>
      <c r="P644" s="11"/>
      <c r="Q644" s="11"/>
    </row>
    <row r="645" spans="1:17" x14ac:dyDescent="0.25">
      <c r="A645" s="8" t="str" cm="1">
        <f t="array" aca="1" ref="A645" ca="1">IF(INDIRECT("'Student_Record 1'!A" &amp; ROW())="", "", INDIRECT("'Student_Record 1'!A" &amp; ROW()))</f>
        <v/>
      </c>
      <c r="B645" s="8" t="str" cm="1">
        <f t="array" aca="1" ref="B645" ca="1">IF(INDIRECT("'Student_Record 1'!C" &amp; ROW())="", "", INDIRECT("'Student_Record 1'!C" &amp; ROW()))</f>
        <v/>
      </c>
      <c r="C645" s="8" t="str" cm="1">
        <f t="array" aca="1" ref="C645" ca="1">IF(INDIRECT("'Student_Record 1'!E" &amp; ROW())="", "", INDIRECT("'Student_Record 1'!E" &amp; ROW()))</f>
        <v/>
      </c>
      <c r="D645" s="8" t="str" cm="1">
        <f t="array" aca="1" ref="D645" ca="1">IF(INDIRECT("'Student_Record 1'!G" &amp; ROW())="", "", INDIRECT("'Student_Record 1'!G" &amp; ROW()))</f>
        <v/>
      </c>
      <c r="E645" s="8" t="str" cm="1">
        <f t="array" aca="1" ref="E645" ca="1">IF(INDIRECT("'Student_Record 1'!I" &amp; ROW())="", "", INDIRECT("'Student_Record 1'!I" &amp; ROW()))</f>
        <v/>
      </c>
      <c r="F645" s="8" t="str" cm="1">
        <f t="array" aca="1" ref="F645" ca="1">IF(INDIRECT("'Student_Record 1'!O" &amp; ROW())="", "", INDIRECT("'Student_Record 1'!O" &amp; ROW()))</f>
        <v/>
      </c>
      <c r="G645" s="11"/>
      <c r="I645" s="11"/>
      <c r="J645" s="11"/>
      <c r="K645" s="11"/>
      <c r="L645" s="11"/>
      <c r="M645" s="11"/>
      <c r="N645" s="11"/>
      <c r="O645" s="11"/>
      <c r="P645" s="11"/>
      <c r="Q645" s="11"/>
    </row>
    <row r="646" spans="1:17" x14ac:dyDescent="0.25">
      <c r="A646" s="8" t="str" cm="1">
        <f t="array" aca="1" ref="A646" ca="1">IF(INDIRECT("'Student_Record 1'!A" &amp; ROW())="", "", INDIRECT("'Student_Record 1'!A" &amp; ROW()))</f>
        <v/>
      </c>
      <c r="B646" s="8" t="str" cm="1">
        <f t="array" aca="1" ref="B646" ca="1">IF(INDIRECT("'Student_Record 1'!C" &amp; ROW())="", "", INDIRECT("'Student_Record 1'!C" &amp; ROW()))</f>
        <v/>
      </c>
      <c r="C646" s="8" t="str" cm="1">
        <f t="array" aca="1" ref="C646" ca="1">IF(INDIRECT("'Student_Record 1'!E" &amp; ROW())="", "", INDIRECT("'Student_Record 1'!E" &amp; ROW()))</f>
        <v/>
      </c>
      <c r="D646" s="8" t="str" cm="1">
        <f t="array" aca="1" ref="D646" ca="1">IF(INDIRECT("'Student_Record 1'!G" &amp; ROW())="", "", INDIRECT("'Student_Record 1'!G" &amp; ROW()))</f>
        <v/>
      </c>
      <c r="E646" s="8" t="str" cm="1">
        <f t="array" aca="1" ref="E646" ca="1">IF(INDIRECT("'Student_Record 1'!I" &amp; ROW())="", "", INDIRECT("'Student_Record 1'!I" &amp; ROW()))</f>
        <v/>
      </c>
      <c r="F646" s="8" t="str" cm="1">
        <f t="array" aca="1" ref="F646" ca="1">IF(INDIRECT("'Student_Record 1'!O" &amp; ROW())="", "", INDIRECT("'Student_Record 1'!O" &amp; ROW()))</f>
        <v/>
      </c>
      <c r="G646" s="11"/>
      <c r="I646" s="11"/>
      <c r="J646" s="11"/>
      <c r="K646" s="11"/>
      <c r="L646" s="11"/>
      <c r="M646" s="11"/>
      <c r="N646" s="11"/>
      <c r="O646" s="11"/>
      <c r="P646" s="11"/>
      <c r="Q646" s="11"/>
    </row>
    <row r="647" spans="1:17" x14ac:dyDescent="0.25">
      <c r="A647" s="8" t="str" cm="1">
        <f t="array" aca="1" ref="A647" ca="1">IF(INDIRECT("'Student_Record 1'!A" &amp; ROW())="", "", INDIRECT("'Student_Record 1'!A" &amp; ROW()))</f>
        <v/>
      </c>
      <c r="B647" s="8" t="str" cm="1">
        <f t="array" aca="1" ref="B647" ca="1">IF(INDIRECT("'Student_Record 1'!C" &amp; ROW())="", "", INDIRECT("'Student_Record 1'!C" &amp; ROW()))</f>
        <v/>
      </c>
      <c r="C647" s="8" t="str" cm="1">
        <f t="array" aca="1" ref="C647" ca="1">IF(INDIRECT("'Student_Record 1'!E" &amp; ROW())="", "", INDIRECT("'Student_Record 1'!E" &amp; ROW()))</f>
        <v/>
      </c>
      <c r="D647" s="8" t="str" cm="1">
        <f t="array" aca="1" ref="D647" ca="1">IF(INDIRECT("'Student_Record 1'!G" &amp; ROW())="", "", INDIRECT("'Student_Record 1'!G" &amp; ROW()))</f>
        <v/>
      </c>
      <c r="E647" s="8" t="str" cm="1">
        <f t="array" aca="1" ref="E647" ca="1">IF(INDIRECT("'Student_Record 1'!I" &amp; ROW())="", "", INDIRECT("'Student_Record 1'!I" &amp; ROW()))</f>
        <v/>
      </c>
      <c r="F647" s="8" t="str" cm="1">
        <f t="array" aca="1" ref="F647" ca="1">IF(INDIRECT("'Student_Record 1'!O" &amp; ROW())="", "", INDIRECT("'Student_Record 1'!O" &amp; ROW()))</f>
        <v/>
      </c>
      <c r="G647" s="11"/>
      <c r="I647" s="11"/>
      <c r="J647" s="11"/>
      <c r="K647" s="11"/>
      <c r="L647" s="11"/>
      <c r="M647" s="11"/>
      <c r="N647" s="11"/>
      <c r="O647" s="11"/>
      <c r="P647" s="11"/>
      <c r="Q647" s="11"/>
    </row>
    <row r="648" spans="1:17" x14ac:dyDescent="0.25">
      <c r="A648" s="8" t="str" cm="1">
        <f t="array" aca="1" ref="A648" ca="1">IF(INDIRECT("'Student_Record 1'!A" &amp; ROW())="", "", INDIRECT("'Student_Record 1'!A" &amp; ROW()))</f>
        <v/>
      </c>
      <c r="B648" s="8" t="str" cm="1">
        <f t="array" aca="1" ref="B648" ca="1">IF(INDIRECT("'Student_Record 1'!C" &amp; ROW())="", "", INDIRECT("'Student_Record 1'!C" &amp; ROW()))</f>
        <v/>
      </c>
      <c r="C648" s="8" t="str" cm="1">
        <f t="array" aca="1" ref="C648" ca="1">IF(INDIRECT("'Student_Record 1'!E" &amp; ROW())="", "", INDIRECT("'Student_Record 1'!E" &amp; ROW()))</f>
        <v/>
      </c>
      <c r="D648" s="8" t="str" cm="1">
        <f t="array" aca="1" ref="D648" ca="1">IF(INDIRECT("'Student_Record 1'!G" &amp; ROW())="", "", INDIRECT("'Student_Record 1'!G" &amp; ROW()))</f>
        <v/>
      </c>
      <c r="E648" s="8" t="str" cm="1">
        <f t="array" aca="1" ref="E648" ca="1">IF(INDIRECT("'Student_Record 1'!I" &amp; ROW())="", "", INDIRECT("'Student_Record 1'!I" &amp; ROW()))</f>
        <v/>
      </c>
      <c r="F648" s="8" t="str" cm="1">
        <f t="array" aca="1" ref="F648" ca="1">IF(INDIRECT("'Student_Record 1'!O" &amp; ROW())="", "", INDIRECT("'Student_Record 1'!O" &amp; ROW()))</f>
        <v/>
      </c>
      <c r="G648" s="11"/>
      <c r="I648" s="11"/>
      <c r="J648" s="11"/>
      <c r="K648" s="11"/>
      <c r="L648" s="11"/>
      <c r="M648" s="11"/>
      <c r="N648" s="11"/>
      <c r="O648" s="11"/>
      <c r="P648" s="11"/>
      <c r="Q648" s="11"/>
    </row>
    <row r="649" spans="1:17" x14ac:dyDescent="0.25">
      <c r="A649" s="8" t="str" cm="1">
        <f t="array" aca="1" ref="A649" ca="1">IF(INDIRECT("'Student_Record 1'!A" &amp; ROW())="", "", INDIRECT("'Student_Record 1'!A" &amp; ROW()))</f>
        <v/>
      </c>
      <c r="B649" s="8" t="str" cm="1">
        <f t="array" aca="1" ref="B649" ca="1">IF(INDIRECT("'Student_Record 1'!C" &amp; ROW())="", "", INDIRECT("'Student_Record 1'!C" &amp; ROW()))</f>
        <v/>
      </c>
      <c r="C649" s="8" t="str" cm="1">
        <f t="array" aca="1" ref="C649" ca="1">IF(INDIRECT("'Student_Record 1'!E" &amp; ROW())="", "", INDIRECT("'Student_Record 1'!E" &amp; ROW()))</f>
        <v/>
      </c>
      <c r="D649" s="8" t="str" cm="1">
        <f t="array" aca="1" ref="D649" ca="1">IF(INDIRECT("'Student_Record 1'!G" &amp; ROW())="", "", INDIRECT("'Student_Record 1'!G" &amp; ROW()))</f>
        <v/>
      </c>
      <c r="E649" s="8" t="str" cm="1">
        <f t="array" aca="1" ref="E649" ca="1">IF(INDIRECT("'Student_Record 1'!I" &amp; ROW())="", "", INDIRECT("'Student_Record 1'!I" &amp; ROW()))</f>
        <v/>
      </c>
      <c r="F649" s="8" t="str" cm="1">
        <f t="array" aca="1" ref="F649" ca="1">IF(INDIRECT("'Student_Record 1'!O" &amp; ROW())="", "", INDIRECT("'Student_Record 1'!O" &amp; ROW()))</f>
        <v/>
      </c>
      <c r="G649" s="11"/>
      <c r="I649" s="11"/>
      <c r="J649" s="11"/>
      <c r="K649" s="11"/>
      <c r="L649" s="11"/>
      <c r="M649" s="11"/>
      <c r="N649" s="11"/>
      <c r="O649" s="11"/>
      <c r="P649" s="11"/>
      <c r="Q649" s="11"/>
    </row>
    <row r="650" spans="1:17" x14ac:dyDescent="0.25">
      <c r="A650" s="8" t="str" cm="1">
        <f t="array" aca="1" ref="A650" ca="1">IF(INDIRECT("'Student_Record 1'!A" &amp; ROW())="", "", INDIRECT("'Student_Record 1'!A" &amp; ROW()))</f>
        <v/>
      </c>
      <c r="B650" s="8" t="str" cm="1">
        <f t="array" aca="1" ref="B650" ca="1">IF(INDIRECT("'Student_Record 1'!C" &amp; ROW())="", "", INDIRECT("'Student_Record 1'!C" &amp; ROW()))</f>
        <v/>
      </c>
      <c r="C650" s="8" t="str" cm="1">
        <f t="array" aca="1" ref="C650" ca="1">IF(INDIRECT("'Student_Record 1'!E" &amp; ROW())="", "", INDIRECT("'Student_Record 1'!E" &amp; ROW()))</f>
        <v/>
      </c>
      <c r="D650" s="8" t="str" cm="1">
        <f t="array" aca="1" ref="D650" ca="1">IF(INDIRECT("'Student_Record 1'!G" &amp; ROW())="", "", INDIRECT("'Student_Record 1'!G" &amp; ROW()))</f>
        <v/>
      </c>
      <c r="E650" s="8" t="str" cm="1">
        <f t="array" aca="1" ref="E650" ca="1">IF(INDIRECT("'Student_Record 1'!I" &amp; ROW())="", "", INDIRECT("'Student_Record 1'!I" &amp; ROW()))</f>
        <v/>
      </c>
      <c r="F650" s="8" t="str" cm="1">
        <f t="array" aca="1" ref="F650" ca="1">IF(INDIRECT("'Student_Record 1'!O" &amp; ROW())="", "", INDIRECT("'Student_Record 1'!O" &amp; ROW()))</f>
        <v/>
      </c>
      <c r="G650" s="11"/>
      <c r="I650" s="11"/>
      <c r="J650" s="11"/>
      <c r="K650" s="11"/>
      <c r="L650" s="11"/>
      <c r="M650" s="11"/>
      <c r="N650" s="11"/>
      <c r="O650" s="11"/>
      <c r="P650" s="11"/>
      <c r="Q650" s="11"/>
    </row>
    <row r="651" spans="1:17" x14ac:dyDescent="0.25">
      <c r="A651" s="8" t="str" cm="1">
        <f t="array" aca="1" ref="A651" ca="1">IF(INDIRECT("'Student_Record 1'!A" &amp; ROW())="", "", INDIRECT("'Student_Record 1'!A" &amp; ROW()))</f>
        <v/>
      </c>
      <c r="B651" s="8" t="str" cm="1">
        <f t="array" aca="1" ref="B651" ca="1">IF(INDIRECT("'Student_Record 1'!C" &amp; ROW())="", "", INDIRECT("'Student_Record 1'!C" &amp; ROW()))</f>
        <v/>
      </c>
      <c r="C651" s="8" t="str" cm="1">
        <f t="array" aca="1" ref="C651" ca="1">IF(INDIRECT("'Student_Record 1'!E" &amp; ROW())="", "", INDIRECT("'Student_Record 1'!E" &amp; ROW()))</f>
        <v/>
      </c>
      <c r="D651" s="8" t="str" cm="1">
        <f t="array" aca="1" ref="D651" ca="1">IF(INDIRECT("'Student_Record 1'!G" &amp; ROW())="", "", INDIRECT("'Student_Record 1'!G" &amp; ROW()))</f>
        <v/>
      </c>
      <c r="E651" s="8" t="str" cm="1">
        <f t="array" aca="1" ref="E651" ca="1">IF(INDIRECT("'Student_Record 1'!I" &amp; ROW())="", "", INDIRECT("'Student_Record 1'!I" &amp; ROW()))</f>
        <v/>
      </c>
      <c r="F651" s="8" t="str" cm="1">
        <f t="array" aca="1" ref="F651" ca="1">IF(INDIRECT("'Student_Record 1'!O" &amp; ROW())="", "", INDIRECT("'Student_Record 1'!O" &amp; ROW()))</f>
        <v/>
      </c>
      <c r="G651" s="11"/>
      <c r="I651" s="11"/>
      <c r="J651" s="11"/>
      <c r="K651" s="11"/>
      <c r="L651" s="11"/>
      <c r="M651" s="11"/>
      <c r="N651" s="11"/>
      <c r="O651" s="11"/>
      <c r="P651" s="11"/>
      <c r="Q651" s="11"/>
    </row>
    <row r="652" spans="1:17" x14ac:dyDescent="0.25">
      <c r="A652" s="8" t="str" cm="1">
        <f t="array" aca="1" ref="A652" ca="1">IF(INDIRECT("'Student_Record 1'!A" &amp; ROW())="", "", INDIRECT("'Student_Record 1'!A" &amp; ROW()))</f>
        <v/>
      </c>
      <c r="B652" s="8" t="str" cm="1">
        <f t="array" aca="1" ref="B652" ca="1">IF(INDIRECT("'Student_Record 1'!C" &amp; ROW())="", "", INDIRECT("'Student_Record 1'!C" &amp; ROW()))</f>
        <v/>
      </c>
      <c r="C652" s="8" t="str" cm="1">
        <f t="array" aca="1" ref="C652" ca="1">IF(INDIRECT("'Student_Record 1'!E" &amp; ROW())="", "", INDIRECT("'Student_Record 1'!E" &amp; ROW()))</f>
        <v/>
      </c>
      <c r="D652" s="8" t="str" cm="1">
        <f t="array" aca="1" ref="D652" ca="1">IF(INDIRECT("'Student_Record 1'!G" &amp; ROW())="", "", INDIRECT("'Student_Record 1'!G" &amp; ROW()))</f>
        <v/>
      </c>
      <c r="E652" s="8" t="str" cm="1">
        <f t="array" aca="1" ref="E652" ca="1">IF(INDIRECT("'Student_Record 1'!I" &amp; ROW())="", "", INDIRECT("'Student_Record 1'!I" &amp; ROW()))</f>
        <v/>
      </c>
      <c r="F652" s="8" t="str" cm="1">
        <f t="array" aca="1" ref="F652" ca="1">IF(INDIRECT("'Student_Record 1'!O" &amp; ROW())="", "", INDIRECT("'Student_Record 1'!O" &amp; ROW()))</f>
        <v/>
      </c>
      <c r="G652" s="11"/>
      <c r="I652" s="11"/>
      <c r="J652" s="11"/>
      <c r="K652" s="11"/>
      <c r="L652" s="11"/>
      <c r="M652" s="11"/>
      <c r="N652" s="11"/>
      <c r="O652" s="11"/>
      <c r="P652" s="11"/>
      <c r="Q652" s="11"/>
    </row>
    <row r="653" spans="1:17" x14ac:dyDescent="0.25">
      <c r="A653" s="8" t="str" cm="1">
        <f t="array" aca="1" ref="A653" ca="1">IF(INDIRECT("'Student_Record 1'!A" &amp; ROW())="", "", INDIRECT("'Student_Record 1'!A" &amp; ROW()))</f>
        <v/>
      </c>
      <c r="B653" s="8" t="str" cm="1">
        <f t="array" aca="1" ref="B653" ca="1">IF(INDIRECT("'Student_Record 1'!C" &amp; ROW())="", "", INDIRECT("'Student_Record 1'!C" &amp; ROW()))</f>
        <v/>
      </c>
      <c r="C653" s="8" t="str" cm="1">
        <f t="array" aca="1" ref="C653" ca="1">IF(INDIRECT("'Student_Record 1'!E" &amp; ROW())="", "", INDIRECT("'Student_Record 1'!E" &amp; ROW()))</f>
        <v/>
      </c>
      <c r="D653" s="8" t="str" cm="1">
        <f t="array" aca="1" ref="D653" ca="1">IF(INDIRECT("'Student_Record 1'!G" &amp; ROW())="", "", INDIRECT("'Student_Record 1'!G" &amp; ROW()))</f>
        <v/>
      </c>
      <c r="E653" s="8" t="str" cm="1">
        <f t="array" aca="1" ref="E653" ca="1">IF(INDIRECT("'Student_Record 1'!I" &amp; ROW())="", "", INDIRECT("'Student_Record 1'!I" &amp; ROW()))</f>
        <v/>
      </c>
      <c r="F653" s="8" t="str" cm="1">
        <f t="array" aca="1" ref="F653" ca="1">IF(INDIRECT("'Student_Record 1'!O" &amp; ROW())="", "", INDIRECT("'Student_Record 1'!O" &amp; ROW()))</f>
        <v/>
      </c>
      <c r="G653" s="11"/>
      <c r="I653" s="11"/>
      <c r="J653" s="11"/>
      <c r="K653" s="11"/>
      <c r="L653" s="11"/>
      <c r="M653" s="11"/>
      <c r="N653" s="11"/>
      <c r="O653" s="11"/>
      <c r="P653" s="11"/>
      <c r="Q653" s="11"/>
    </row>
    <row r="654" spans="1:17" x14ac:dyDescent="0.25">
      <c r="A654" s="8" t="str" cm="1">
        <f t="array" aca="1" ref="A654" ca="1">IF(INDIRECT("'Student_Record 1'!A" &amp; ROW())="", "", INDIRECT("'Student_Record 1'!A" &amp; ROW()))</f>
        <v/>
      </c>
      <c r="B654" s="8" t="str" cm="1">
        <f t="array" aca="1" ref="B654" ca="1">IF(INDIRECT("'Student_Record 1'!C" &amp; ROW())="", "", INDIRECT("'Student_Record 1'!C" &amp; ROW()))</f>
        <v/>
      </c>
      <c r="C654" s="8" t="str" cm="1">
        <f t="array" aca="1" ref="C654" ca="1">IF(INDIRECT("'Student_Record 1'!E" &amp; ROW())="", "", INDIRECT("'Student_Record 1'!E" &amp; ROW()))</f>
        <v/>
      </c>
      <c r="D654" s="8" t="str" cm="1">
        <f t="array" aca="1" ref="D654" ca="1">IF(INDIRECT("'Student_Record 1'!G" &amp; ROW())="", "", INDIRECT("'Student_Record 1'!G" &amp; ROW()))</f>
        <v/>
      </c>
      <c r="E654" s="8" t="str" cm="1">
        <f t="array" aca="1" ref="E654" ca="1">IF(INDIRECT("'Student_Record 1'!I" &amp; ROW())="", "", INDIRECT("'Student_Record 1'!I" &amp; ROW()))</f>
        <v/>
      </c>
      <c r="F654" s="8" t="str" cm="1">
        <f t="array" aca="1" ref="F654" ca="1">IF(INDIRECT("'Student_Record 1'!O" &amp; ROW())="", "", INDIRECT("'Student_Record 1'!O" &amp; ROW()))</f>
        <v/>
      </c>
      <c r="G654" s="11"/>
      <c r="I654" s="11"/>
      <c r="J654" s="11"/>
      <c r="K654" s="11"/>
      <c r="L654" s="11"/>
      <c r="M654" s="11"/>
      <c r="N654" s="11"/>
      <c r="O654" s="11"/>
      <c r="P654" s="11"/>
      <c r="Q654" s="11"/>
    </row>
    <row r="655" spans="1:17" x14ac:dyDescent="0.25">
      <c r="A655" s="8" t="str" cm="1">
        <f t="array" aca="1" ref="A655" ca="1">IF(INDIRECT("'Student_Record 1'!A" &amp; ROW())="", "", INDIRECT("'Student_Record 1'!A" &amp; ROW()))</f>
        <v/>
      </c>
      <c r="B655" s="8" t="str" cm="1">
        <f t="array" aca="1" ref="B655" ca="1">IF(INDIRECT("'Student_Record 1'!C" &amp; ROW())="", "", INDIRECT("'Student_Record 1'!C" &amp; ROW()))</f>
        <v/>
      </c>
      <c r="C655" s="8" t="str" cm="1">
        <f t="array" aca="1" ref="C655" ca="1">IF(INDIRECT("'Student_Record 1'!E" &amp; ROW())="", "", INDIRECT("'Student_Record 1'!E" &amp; ROW()))</f>
        <v/>
      </c>
      <c r="D655" s="8" t="str" cm="1">
        <f t="array" aca="1" ref="D655" ca="1">IF(INDIRECT("'Student_Record 1'!G" &amp; ROW())="", "", INDIRECT("'Student_Record 1'!G" &amp; ROW()))</f>
        <v/>
      </c>
      <c r="E655" s="8" t="str" cm="1">
        <f t="array" aca="1" ref="E655" ca="1">IF(INDIRECT("'Student_Record 1'!I" &amp; ROW())="", "", INDIRECT("'Student_Record 1'!I" &amp; ROW()))</f>
        <v/>
      </c>
      <c r="F655" s="8" t="str" cm="1">
        <f t="array" aca="1" ref="F655" ca="1">IF(INDIRECT("'Student_Record 1'!O" &amp; ROW())="", "", INDIRECT("'Student_Record 1'!O" &amp; ROW()))</f>
        <v/>
      </c>
      <c r="G655" s="11"/>
      <c r="I655" s="11"/>
      <c r="J655" s="11"/>
      <c r="K655" s="11"/>
      <c r="L655" s="11"/>
      <c r="M655" s="11"/>
      <c r="N655" s="11"/>
      <c r="O655" s="11"/>
      <c r="P655" s="11"/>
      <c r="Q655" s="11"/>
    </row>
    <row r="656" spans="1:17" x14ac:dyDescent="0.25">
      <c r="A656" s="8" t="str" cm="1">
        <f t="array" aca="1" ref="A656" ca="1">IF(INDIRECT("'Student_Record 1'!A" &amp; ROW())="", "", INDIRECT("'Student_Record 1'!A" &amp; ROW()))</f>
        <v/>
      </c>
      <c r="B656" s="8" t="str" cm="1">
        <f t="array" aca="1" ref="B656" ca="1">IF(INDIRECT("'Student_Record 1'!C" &amp; ROW())="", "", INDIRECT("'Student_Record 1'!C" &amp; ROW()))</f>
        <v/>
      </c>
      <c r="C656" s="8" t="str" cm="1">
        <f t="array" aca="1" ref="C656" ca="1">IF(INDIRECT("'Student_Record 1'!E" &amp; ROW())="", "", INDIRECT("'Student_Record 1'!E" &amp; ROW()))</f>
        <v/>
      </c>
      <c r="D656" s="8" t="str" cm="1">
        <f t="array" aca="1" ref="D656" ca="1">IF(INDIRECT("'Student_Record 1'!G" &amp; ROW())="", "", INDIRECT("'Student_Record 1'!G" &amp; ROW()))</f>
        <v/>
      </c>
      <c r="E656" s="8" t="str" cm="1">
        <f t="array" aca="1" ref="E656" ca="1">IF(INDIRECT("'Student_Record 1'!I" &amp; ROW())="", "", INDIRECT("'Student_Record 1'!I" &amp; ROW()))</f>
        <v/>
      </c>
      <c r="F656" s="8" t="str" cm="1">
        <f t="array" aca="1" ref="F656" ca="1">IF(INDIRECT("'Student_Record 1'!O" &amp; ROW())="", "", INDIRECT("'Student_Record 1'!O" &amp; ROW()))</f>
        <v/>
      </c>
      <c r="G656" s="11"/>
      <c r="I656" s="11"/>
      <c r="J656" s="11"/>
      <c r="K656" s="11"/>
      <c r="L656" s="11"/>
      <c r="M656" s="11"/>
      <c r="N656" s="11"/>
      <c r="O656" s="11"/>
      <c r="P656" s="11"/>
      <c r="Q656" s="11"/>
    </row>
    <row r="657" spans="1:17" x14ac:dyDescent="0.25">
      <c r="A657" s="8"/>
      <c r="B657" s="8" t="str" cm="1">
        <f t="array" aca="1" ref="B657" ca="1">IF(INDIRECT("'Student_Record 1'!C" &amp; ROW())="", "", INDIRECT("'Student_Record 1'!C" &amp; ROW()))</f>
        <v/>
      </c>
      <c r="C657" s="8" t="str" cm="1">
        <f t="array" aca="1" ref="C657" ca="1">IF(INDIRECT("'Student_Record 1'!E" &amp; ROW())="", "", INDIRECT("'Student_Record 1'!E" &amp; ROW()))</f>
        <v/>
      </c>
      <c r="D657" s="8" t="str" cm="1">
        <f t="array" aca="1" ref="D657" ca="1">IF(INDIRECT("'Student_Record 1'!G" &amp; ROW())="", "", INDIRECT("'Student_Record 1'!G" &amp; ROW()))</f>
        <v/>
      </c>
      <c r="E657" s="8" t="str" cm="1">
        <f t="array" aca="1" ref="E657" ca="1">IF(INDIRECT("'Student_Record 1'!I" &amp; ROW())="", "", INDIRECT("'Student_Record 1'!I" &amp; ROW()))</f>
        <v/>
      </c>
      <c r="F657" s="8" t="str" cm="1">
        <f t="array" aca="1" ref="F657" ca="1">IF(INDIRECT("'Student_Record 1'!O" &amp; ROW())="", "", INDIRECT("'Student_Record 1'!O" &amp; ROW()))</f>
        <v/>
      </c>
      <c r="G657" s="11"/>
      <c r="I657" s="11"/>
      <c r="J657" s="11"/>
      <c r="K657" s="11"/>
      <c r="L657" s="11"/>
      <c r="M657" s="11"/>
      <c r="N657" s="11"/>
      <c r="O657" s="11"/>
      <c r="P657" s="11"/>
      <c r="Q657" s="11"/>
    </row>
    <row r="658" spans="1:17" x14ac:dyDescent="0.25">
      <c r="A658" s="8" t="str" cm="1">
        <f t="array" aca="1" ref="A658" ca="1">IF(INDIRECT("'Student_Record 1'!A" &amp; ROW())="", "", INDIRECT("'Student_Record 1'!A" &amp; ROW()))</f>
        <v/>
      </c>
      <c r="B658" s="8" t="str" cm="1">
        <f t="array" aca="1" ref="B658" ca="1">IF(INDIRECT("'Student_Record 1'!C" &amp; ROW())="", "", INDIRECT("'Student_Record 1'!C" &amp; ROW()))</f>
        <v/>
      </c>
      <c r="C658" s="8" t="str" cm="1">
        <f t="array" aca="1" ref="C658" ca="1">IF(INDIRECT("'Student_Record 1'!E" &amp; ROW())="", "", INDIRECT("'Student_Record 1'!E" &amp; ROW()))</f>
        <v/>
      </c>
      <c r="D658" s="8" t="str" cm="1">
        <f t="array" aca="1" ref="D658" ca="1">IF(INDIRECT("'Student_Record 1'!G" &amp; ROW())="", "", INDIRECT("'Student_Record 1'!G" &amp; ROW()))</f>
        <v/>
      </c>
      <c r="E658" s="8" t="str" cm="1">
        <f t="array" aca="1" ref="E658" ca="1">IF(INDIRECT("'Student_Record 1'!I" &amp; ROW())="", "", INDIRECT("'Student_Record 1'!I" &amp; ROW()))</f>
        <v/>
      </c>
      <c r="F658" s="8" t="str" cm="1">
        <f t="array" aca="1" ref="F658" ca="1">IF(INDIRECT("'Student_Record 1'!O" &amp; ROW())="", "", INDIRECT("'Student_Record 1'!O" &amp; ROW()))</f>
        <v/>
      </c>
      <c r="G658" s="11"/>
      <c r="I658" s="11"/>
      <c r="J658" s="11"/>
      <c r="K658" s="11"/>
      <c r="L658" s="11"/>
      <c r="M658" s="11"/>
      <c r="N658" s="11"/>
      <c r="O658" s="11"/>
      <c r="P658" s="11"/>
      <c r="Q658" s="11"/>
    </row>
    <row r="659" spans="1:17" x14ac:dyDescent="0.25">
      <c r="A659" s="8" t="str" cm="1">
        <f t="array" aca="1" ref="A659" ca="1">IF(INDIRECT("'Student_Record 1'!A" &amp; ROW())="", "", INDIRECT("'Student_Record 1'!A" &amp; ROW()))</f>
        <v/>
      </c>
      <c r="B659" s="8" t="str" cm="1">
        <f t="array" aca="1" ref="B659" ca="1">IF(INDIRECT("'Student_Record 1'!C" &amp; ROW())="", "", INDIRECT("'Student_Record 1'!C" &amp; ROW()))</f>
        <v/>
      </c>
      <c r="C659" s="8" t="str" cm="1">
        <f t="array" aca="1" ref="C659" ca="1">IF(INDIRECT("'Student_Record 1'!E" &amp; ROW())="", "", INDIRECT("'Student_Record 1'!E" &amp; ROW()))</f>
        <v/>
      </c>
      <c r="D659" s="8" t="str" cm="1">
        <f t="array" aca="1" ref="D659" ca="1">IF(INDIRECT("'Student_Record 1'!G" &amp; ROW())="", "", INDIRECT("'Student_Record 1'!G" &amp; ROW()))</f>
        <v/>
      </c>
      <c r="E659" s="8" t="str" cm="1">
        <f t="array" aca="1" ref="E659" ca="1">IF(INDIRECT("'Student_Record 1'!I" &amp; ROW())="", "", INDIRECT("'Student_Record 1'!I" &amp; ROW()))</f>
        <v/>
      </c>
      <c r="F659" s="8" t="str" cm="1">
        <f t="array" aca="1" ref="F659" ca="1">IF(INDIRECT("'Student_Record 1'!O" &amp; ROW())="", "", INDIRECT("'Student_Record 1'!O" &amp; ROW()))</f>
        <v/>
      </c>
      <c r="G659" s="11"/>
      <c r="I659" s="11"/>
      <c r="J659" s="11"/>
      <c r="K659" s="11"/>
      <c r="L659" s="11"/>
      <c r="M659" s="11"/>
      <c r="N659" s="11"/>
      <c r="O659" s="11"/>
      <c r="P659" s="11"/>
      <c r="Q659" s="11"/>
    </row>
    <row r="660" spans="1:17" x14ac:dyDescent="0.25">
      <c r="A660" s="8" t="str" cm="1">
        <f t="array" aca="1" ref="A660" ca="1">IF(INDIRECT("'Student_Record 1'!A" &amp; ROW())="", "", INDIRECT("'Student_Record 1'!A" &amp; ROW()))</f>
        <v/>
      </c>
      <c r="B660" s="8" t="str" cm="1">
        <f t="array" aca="1" ref="B660" ca="1">IF(INDIRECT("'Student_Record 1'!C" &amp; ROW())="", "", INDIRECT("'Student_Record 1'!C" &amp; ROW()))</f>
        <v/>
      </c>
      <c r="C660" s="8" t="str" cm="1">
        <f t="array" aca="1" ref="C660" ca="1">IF(INDIRECT("'Student_Record 1'!E" &amp; ROW())="", "", INDIRECT("'Student_Record 1'!E" &amp; ROW()))</f>
        <v/>
      </c>
      <c r="D660" s="8" t="str" cm="1">
        <f t="array" aca="1" ref="D660" ca="1">IF(INDIRECT("'Student_Record 1'!G" &amp; ROW())="", "", INDIRECT("'Student_Record 1'!G" &amp; ROW()))</f>
        <v/>
      </c>
      <c r="E660" s="8" t="str" cm="1">
        <f t="array" aca="1" ref="E660" ca="1">IF(INDIRECT("'Student_Record 1'!I" &amp; ROW())="", "", INDIRECT("'Student_Record 1'!I" &amp; ROW()))</f>
        <v/>
      </c>
      <c r="F660" s="8" t="str" cm="1">
        <f t="array" aca="1" ref="F660" ca="1">IF(INDIRECT("'Student_Record 1'!O" &amp; ROW())="", "", INDIRECT("'Student_Record 1'!O" &amp; ROW()))</f>
        <v/>
      </c>
      <c r="G660" s="11"/>
      <c r="I660" s="11"/>
      <c r="J660" s="11"/>
      <c r="K660" s="11"/>
      <c r="L660" s="11"/>
      <c r="M660" s="11"/>
      <c r="N660" s="11"/>
      <c r="O660" s="11"/>
      <c r="P660" s="11"/>
      <c r="Q660" s="11"/>
    </row>
    <row r="661" spans="1:17" x14ac:dyDescent="0.25">
      <c r="A661" s="8" t="str" cm="1">
        <f t="array" aca="1" ref="A661" ca="1">IF(INDIRECT("'Student_Record 1'!A" &amp; ROW())="", "", INDIRECT("'Student_Record 1'!A" &amp; ROW()))</f>
        <v/>
      </c>
      <c r="B661" s="8" t="str" cm="1">
        <f t="array" aca="1" ref="B661" ca="1">IF(INDIRECT("'Student_Record 1'!C" &amp; ROW())="", "", INDIRECT("'Student_Record 1'!C" &amp; ROW()))</f>
        <v/>
      </c>
      <c r="C661" s="8" t="str" cm="1">
        <f t="array" aca="1" ref="C661" ca="1">IF(INDIRECT("'Student_Record 1'!E" &amp; ROW())="", "", INDIRECT("'Student_Record 1'!E" &amp; ROW()))</f>
        <v/>
      </c>
      <c r="D661" s="8" t="str" cm="1">
        <f t="array" aca="1" ref="D661" ca="1">IF(INDIRECT("'Student_Record 1'!G" &amp; ROW())="", "", INDIRECT("'Student_Record 1'!G" &amp; ROW()))</f>
        <v/>
      </c>
      <c r="E661" s="8" t="str" cm="1">
        <f t="array" aca="1" ref="E661" ca="1">IF(INDIRECT("'Student_Record 1'!I" &amp; ROW())="", "", INDIRECT("'Student_Record 1'!I" &amp; ROW()))</f>
        <v/>
      </c>
      <c r="F661" s="8" t="str" cm="1">
        <f t="array" aca="1" ref="F661" ca="1">IF(INDIRECT("'Student_Record 1'!O" &amp; ROW())="", "", INDIRECT("'Student_Record 1'!O" &amp; ROW()))</f>
        <v/>
      </c>
      <c r="G661" s="11"/>
      <c r="I661" s="11"/>
      <c r="J661" s="11"/>
      <c r="K661" s="11"/>
      <c r="L661" s="11"/>
      <c r="M661" s="11"/>
      <c r="N661" s="11"/>
      <c r="O661" s="11"/>
      <c r="P661" s="11"/>
      <c r="Q661" s="11"/>
    </row>
    <row r="662" spans="1:17" x14ac:dyDescent="0.25">
      <c r="A662" s="8" t="str" cm="1">
        <f t="array" aca="1" ref="A662" ca="1">IF(INDIRECT("'Student_Record 1'!A" &amp; ROW())="", "", INDIRECT("'Student_Record 1'!A" &amp; ROW()))</f>
        <v/>
      </c>
      <c r="B662" s="8" t="str" cm="1">
        <f t="array" aca="1" ref="B662" ca="1">IF(INDIRECT("'Student_Record 1'!C" &amp; ROW())="", "", INDIRECT("'Student_Record 1'!C" &amp; ROW()))</f>
        <v/>
      </c>
      <c r="C662" s="8" t="str" cm="1">
        <f t="array" aca="1" ref="C662" ca="1">IF(INDIRECT("'Student_Record 1'!E" &amp; ROW())="", "", INDIRECT("'Student_Record 1'!E" &amp; ROW()))</f>
        <v/>
      </c>
      <c r="D662" s="8" t="str" cm="1">
        <f t="array" aca="1" ref="D662" ca="1">IF(INDIRECT("'Student_Record 1'!G" &amp; ROW())="", "", INDIRECT("'Student_Record 1'!G" &amp; ROW()))</f>
        <v/>
      </c>
      <c r="E662" s="8" t="str" cm="1">
        <f t="array" aca="1" ref="E662" ca="1">IF(INDIRECT("'Student_Record 1'!I" &amp; ROW())="", "", INDIRECT("'Student_Record 1'!I" &amp; ROW()))</f>
        <v/>
      </c>
      <c r="F662" s="8" t="str" cm="1">
        <f t="array" aca="1" ref="F662" ca="1">IF(INDIRECT("'Student_Record 1'!O" &amp; ROW())="", "", INDIRECT("'Student_Record 1'!O" &amp; ROW()))</f>
        <v/>
      </c>
      <c r="G662" s="11"/>
      <c r="I662" s="11"/>
      <c r="J662" s="11"/>
      <c r="K662" s="11"/>
      <c r="L662" s="11"/>
      <c r="M662" s="11"/>
      <c r="N662" s="11"/>
      <c r="O662" s="11"/>
      <c r="P662" s="11"/>
      <c r="Q662" s="11"/>
    </row>
    <row r="663" spans="1:17" x14ac:dyDescent="0.25">
      <c r="A663" s="8" t="str" cm="1">
        <f t="array" aca="1" ref="A663" ca="1">IF(INDIRECT("'Student_Record 1'!A" &amp; ROW())="", "", INDIRECT("'Student_Record 1'!A" &amp; ROW()))</f>
        <v/>
      </c>
      <c r="B663" s="8" t="str" cm="1">
        <f t="array" aca="1" ref="B663" ca="1">IF(INDIRECT("'Student_Record 1'!C" &amp; ROW())="", "", INDIRECT("'Student_Record 1'!C" &amp; ROW()))</f>
        <v/>
      </c>
      <c r="C663" s="8" t="str" cm="1">
        <f t="array" aca="1" ref="C663" ca="1">IF(INDIRECT("'Student_Record 1'!E" &amp; ROW())="", "", INDIRECT("'Student_Record 1'!E" &amp; ROW()))</f>
        <v/>
      </c>
      <c r="D663" s="8" t="str" cm="1">
        <f t="array" aca="1" ref="D663" ca="1">IF(INDIRECT("'Student_Record 1'!G" &amp; ROW())="", "", INDIRECT("'Student_Record 1'!G" &amp; ROW()))</f>
        <v/>
      </c>
      <c r="E663" s="8" t="str" cm="1">
        <f t="array" aca="1" ref="E663" ca="1">IF(INDIRECT("'Student_Record 1'!I" &amp; ROW())="", "", INDIRECT("'Student_Record 1'!I" &amp; ROW()))</f>
        <v/>
      </c>
      <c r="F663" s="8" t="str" cm="1">
        <f t="array" aca="1" ref="F663" ca="1">IF(INDIRECT("'Student_Record 1'!O" &amp; ROW())="", "", INDIRECT("'Student_Record 1'!O" &amp; ROW()))</f>
        <v/>
      </c>
      <c r="G663" s="11"/>
      <c r="I663" s="11"/>
      <c r="J663" s="11"/>
      <c r="K663" s="11"/>
      <c r="L663" s="11"/>
      <c r="M663" s="11"/>
      <c r="N663" s="11"/>
      <c r="O663" s="11"/>
      <c r="P663" s="11"/>
      <c r="Q663" s="11"/>
    </row>
    <row r="664" spans="1:17" x14ac:dyDescent="0.25">
      <c r="A664" s="8" t="str" cm="1">
        <f t="array" aca="1" ref="A664" ca="1">IF(INDIRECT("'Student_Record 1'!A" &amp; ROW())="", "", INDIRECT("'Student_Record 1'!A" &amp; ROW()))</f>
        <v/>
      </c>
      <c r="B664" s="8" t="str" cm="1">
        <f t="array" aca="1" ref="B664" ca="1">IF(INDIRECT("'Student_Record 1'!C" &amp; ROW())="", "", INDIRECT("'Student_Record 1'!C" &amp; ROW()))</f>
        <v/>
      </c>
      <c r="C664" s="8" t="str" cm="1">
        <f t="array" aca="1" ref="C664" ca="1">IF(INDIRECT("'Student_Record 1'!E" &amp; ROW())="", "", INDIRECT("'Student_Record 1'!E" &amp; ROW()))</f>
        <v/>
      </c>
      <c r="D664" s="8" t="str" cm="1">
        <f t="array" aca="1" ref="D664" ca="1">IF(INDIRECT("'Student_Record 1'!G" &amp; ROW())="", "", INDIRECT("'Student_Record 1'!G" &amp; ROW()))</f>
        <v/>
      </c>
      <c r="E664" s="8" t="str" cm="1">
        <f t="array" aca="1" ref="E664" ca="1">IF(INDIRECT("'Student_Record 1'!I" &amp; ROW())="", "", INDIRECT("'Student_Record 1'!I" &amp; ROW()))</f>
        <v/>
      </c>
      <c r="F664" s="8" t="str" cm="1">
        <f t="array" aca="1" ref="F664" ca="1">IF(INDIRECT("'Student_Record 1'!O" &amp; ROW())="", "", INDIRECT("'Student_Record 1'!O" &amp; ROW()))</f>
        <v/>
      </c>
      <c r="G664" s="11"/>
      <c r="I664" s="11"/>
      <c r="J664" s="11"/>
      <c r="K664" s="11"/>
      <c r="L664" s="11"/>
      <c r="M664" s="11"/>
      <c r="N664" s="11"/>
      <c r="O664" s="11"/>
      <c r="P664" s="11"/>
      <c r="Q664" s="11"/>
    </row>
    <row r="665" spans="1:17" x14ac:dyDescent="0.25">
      <c r="A665" s="8" t="str" cm="1">
        <f t="array" aca="1" ref="A665" ca="1">IF(INDIRECT("'Student_Record 1'!A" &amp; ROW())="", "", INDIRECT("'Student_Record 1'!A" &amp; ROW()))</f>
        <v/>
      </c>
      <c r="B665" s="8" t="str" cm="1">
        <f t="array" aca="1" ref="B665" ca="1">IF(INDIRECT("'Student_Record 1'!C" &amp; ROW())="", "", INDIRECT("'Student_Record 1'!C" &amp; ROW()))</f>
        <v/>
      </c>
      <c r="C665" s="8" t="str" cm="1">
        <f t="array" aca="1" ref="C665" ca="1">IF(INDIRECT("'Student_Record 1'!E" &amp; ROW())="", "", INDIRECT("'Student_Record 1'!E" &amp; ROW()))</f>
        <v/>
      </c>
      <c r="D665" s="8" t="str" cm="1">
        <f t="array" aca="1" ref="D665" ca="1">IF(INDIRECT("'Student_Record 1'!G" &amp; ROW())="", "", INDIRECT("'Student_Record 1'!G" &amp; ROW()))</f>
        <v/>
      </c>
      <c r="E665" s="8" t="str" cm="1">
        <f t="array" aca="1" ref="E665" ca="1">IF(INDIRECT("'Student_Record 1'!I" &amp; ROW())="", "", INDIRECT("'Student_Record 1'!I" &amp; ROW()))</f>
        <v/>
      </c>
      <c r="F665" s="8" t="str" cm="1">
        <f t="array" aca="1" ref="F665" ca="1">IF(INDIRECT("'Student_Record 1'!O" &amp; ROW())="", "", INDIRECT("'Student_Record 1'!O" &amp; ROW()))</f>
        <v/>
      </c>
      <c r="G665" s="11"/>
      <c r="I665" s="11"/>
      <c r="J665" s="11"/>
      <c r="K665" s="11"/>
      <c r="L665" s="11"/>
      <c r="M665" s="11"/>
      <c r="N665" s="11"/>
      <c r="O665" s="11"/>
      <c r="P665" s="11"/>
      <c r="Q665" s="11"/>
    </row>
    <row r="666" spans="1:17" x14ac:dyDescent="0.25">
      <c r="A666" s="8" t="str" cm="1">
        <f t="array" aca="1" ref="A666" ca="1">IF(INDIRECT("'Student_Record 1'!A" &amp; ROW())="", "", INDIRECT("'Student_Record 1'!A" &amp; ROW()))</f>
        <v/>
      </c>
      <c r="B666" s="8" t="str" cm="1">
        <f t="array" aca="1" ref="B666" ca="1">IF(INDIRECT("'Student_Record 1'!C" &amp; ROW())="", "", INDIRECT("'Student_Record 1'!C" &amp; ROW()))</f>
        <v/>
      </c>
      <c r="C666" s="8" t="str" cm="1">
        <f t="array" aca="1" ref="C666" ca="1">IF(INDIRECT("'Student_Record 1'!E" &amp; ROW())="", "", INDIRECT("'Student_Record 1'!E" &amp; ROW()))</f>
        <v/>
      </c>
      <c r="D666" s="8" t="str" cm="1">
        <f t="array" aca="1" ref="D666" ca="1">IF(INDIRECT("'Student_Record 1'!G" &amp; ROW())="", "", INDIRECT("'Student_Record 1'!G" &amp; ROW()))</f>
        <v/>
      </c>
      <c r="E666" s="8" t="str" cm="1">
        <f t="array" aca="1" ref="E666" ca="1">IF(INDIRECT("'Student_Record 1'!I" &amp; ROW())="", "", INDIRECT("'Student_Record 1'!I" &amp; ROW()))</f>
        <v/>
      </c>
      <c r="F666" s="8" t="str" cm="1">
        <f t="array" aca="1" ref="F666" ca="1">IF(INDIRECT("'Student_Record 1'!O" &amp; ROW())="", "", INDIRECT("'Student_Record 1'!O" &amp; ROW()))</f>
        <v/>
      </c>
      <c r="G666" s="11"/>
      <c r="I666" s="11"/>
      <c r="J666" s="11"/>
      <c r="K666" s="11"/>
      <c r="L666" s="11"/>
      <c r="M666" s="11"/>
      <c r="N666" s="11"/>
      <c r="O666" s="11"/>
      <c r="P666" s="11"/>
      <c r="Q666" s="11"/>
    </row>
    <row r="667" spans="1:17" x14ac:dyDescent="0.25">
      <c r="A667" s="8" t="str" cm="1">
        <f t="array" aca="1" ref="A667" ca="1">IF(INDIRECT("'Student_Record 1'!A" &amp; ROW())="", "", INDIRECT("'Student_Record 1'!A" &amp; ROW()))</f>
        <v/>
      </c>
      <c r="B667" s="8" t="str" cm="1">
        <f t="array" aca="1" ref="B667" ca="1">IF(INDIRECT("'Student_Record 1'!C" &amp; ROW())="", "", INDIRECT("'Student_Record 1'!C" &amp; ROW()))</f>
        <v/>
      </c>
      <c r="C667" s="8" t="str" cm="1">
        <f t="array" aca="1" ref="C667" ca="1">IF(INDIRECT("'Student_Record 1'!E" &amp; ROW())="", "", INDIRECT("'Student_Record 1'!E" &amp; ROW()))</f>
        <v/>
      </c>
      <c r="D667" s="8" t="str" cm="1">
        <f t="array" aca="1" ref="D667" ca="1">IF(INDIRECT("'Student_Record 1'!G" &amp; ROW())="", "", INDIRECT("'Student_Record 1'!G" &amp; ROW()))</f>
        <v/>
      </c>
      <c r="E667" s="8" t="str" cm="1">
        <f t="array" aca="1" ref="E667" ca="1">IF(INDIRECT("'Student_Record 1'!I" &amp; ROW())="", "", INDIRECT("'Student_Record 1'!I" &amp; ROW()))</f>
        <v/>
      </c>
      <c r="F667" s="8" t="str" cm="1">
        <f t="array" aca="1" ref="F667" ca="1">IF(INDIRECT("'Student_Record 1'!O" &amp; ROW())="", "", INDIRECT("'Student_Record 1'!O" &amp; ROW()))</f>
        <v/>
      </c>
      <c r="G667" s="11"/>
      <c r="I667" s="11"/>
      <c r="J667" s="11"/>
      <c r="K667" s="11"/>
      <c r="L667" s="11"/>
      <c r="M667" s="11"/>
      <c r="N667" s="11"/>
      <c r="O667" s="11"/>
      <c r="P667" s="11"/>
      <c r="Q667" s="11"/>
    </row>
    <row r="668" spans="1:17" x14ac:dyDescent="0.25">
      <c r="A668" s="8" t="str" cm="1">
        <f t="array" aca="1" ref="A668" ca="1">IF(INDIRECT("'Student_Record 1'!A" &amp; ROW())="", "", INDIRECT("'Student_Record 1'!A" &amp; ROW()))</f>
        <v/>
      </c>
      <c r="B668" s="8" t="str" cm="1">
        <f t="array" aca="1" ref="B668" ca="1">IF(INDIRECT("'Student_Record 1'!C" &amp; ROW())="", "", INDIRECT("'Student_Record 1'!C" &amp; ROW()))</f>
        <v/>
      </c>
      <c r="C668" s="8" t="str" cm="1">
        <f t="array" aca="1" ref="C668" ca="1">IF(INDIRECT("'Student_Record 1'!E" &amp; ROW())="", "", INDIRECT("'Student_Record 1'!E" &amp; ROW()))</f>
        <v/>
      </c>
      <c r="D668" s="8" t="str" cm="1">
        <f t="array" aca="1" ref="D668" ca="1">IF(INDIRECT("'Student_Record 1'!G" &amp; ROW())="", "", INDIRECT("'Student_Record 1'!G" &amp; ROW()))</f>
        <v/>
      </c>
      <c r="E668" s="8" t="str" cm="1">
        <f t="array" aca="1" ref="E668" ca="1">IF(INDIRECT("'Student_Record 1'!I" &amp; ROW())="", "", INDIRECT("'Student_Record 1'!I" &amp; ROW()))</f>
        <v/>
      </c>
      <c r="F668" s="8" t="str" cm="1">
        <f t="array" aca="1" ref="F668" ca="1">IF(INDIRECT("'Student_Record 1'!O" &amp; ROW())="", "", INDIRECT("'Student_Record 1'!O" &amp; ROW()))</f>
        <v/>
      </c>
      <c r="G668" s="11"/>
      <c r="I668" s="11"/>
      <c r="J668" s="11"/>
      <c r="K668" s="11"/>
      <c r="L668" s="11"/>
      <c r="M668" s="11"/>
      <c r="N668" s="11"/>
      <c r="O668" s="11"/>
      <c r="P668" s="11"/>
      <c r="Q668" s="11"/>
    </row>
    <row r="669" spans="1:17" x14ac:dyDescent="0.25">
      <c r="A669" s="8" t="str" cm="1">
        <f t="array" aca="1" ref="A669" ca="1">IF(INDIRECT("'Student_Record 1'!A" &amp; ROW())="", "", INDIRECT("'Student_Record 1'!A" &amp; ROW()))</f>
        <v/>
      </c>
      <c r="B669" s="8" t="str" cm="1">
        <f t="array" aca="1" ref="B669" ca="1">IF(INDIRECT("'Student_Record 1'!C" &amp; ROW())="", "", INDIRECT("'Student_Record 1'!C" &amp; ROW()))</f>
        <v/>
      </c>
      <c r="C669" s="8" t="str" cm="1">
        <f t="array" aca="1" ref="C669" ca="1">IF(INDIRECT("'Student_Record 1'!E" &amp; ROW())="", "", INDIRECT("'Student_Record 1'!E" &amp; ROW()))</f>
        <v/>
      </c>
      <c r="D669" s="8" t="str" cm="1">
        <f t="array" aca="1" ref="D669" ca="1">IF(INDIRECT("'Student_Record 1'!G" &amp; ROW())="", "", INDIRECT("'Student_Record 1'!G" &amp; ROW()))</f>
        <v/>
      </c>
      <c r="E669" s="8" t="str" cm="1">
        <f t="array" aca="1" ref="E669" ca="1">IF(INDIRECT("'Student_Record 1'!I" &amp; ROW())="", "", INDIRECT("'Student_Record 1'!I" &amp; ROW()))</f>
        <v/>
      </c>
      <c r="F669" s="8" t="str" cm="1">
        <f t="array" aca="1" ref="F669" ca="1">IF(INDIRECT("'Student_Record 1'!O" &amp; ROW())="", "", INDIRECT("'Student_Record 1'!O" &amp; ROW()))</f>
        <v/>
      </c>
      <c r="G669" s="11"/>
      <c r="I669" s="11"/>
      <c r="J669" s="11"/>
      <c r="K669" s="11"/>
      <c r="L669" s="11"/>
      <c r="M669" s="11"/>
      <c r="N669" s="11"/>
      <c r="O669" s="11"/>
      <c r="P669" s="11"/>
      <c r="Q669" s="11"/>
    </row>
    <row r="670" spans="1:17" x14ac:dyDescent="0.25">
      <c r="A670" s="8" t="str" cm="1">
        <f t="array" aca="1" ref="A670" ca="1">IF(INDIRECT("'Student_Record 1'!A" &amp; ROW())="", "", INDIRECT("'Student_Record 1'!A" &amp; ROW()))</f>
        <v/>
      </c>
      <c r="B670" s="8" t="str" cm="1">
        <f t="array" aca="1" ref="B670" ca="1">IF(INDIRECT("'Student_Record 1'!C" &amp; ROW())="", "", INDIRECT("'Student_Record 1'!C" &amp; ROW()))</f>
        <v/>
      </c>
      <c r="C670" s="8" t="str" cm="1">
        <f t="array" aca="1" ref="C670" ca="1">IF(INDIRECT("'Student_Record 1'!E" &amp; ROW())="", "", INDIRECT("'Student_Record 1'!E" &amp; ROW()))</f>
        <v/>
      </c>
      <c r="D670" s="8" t="str" cm="1">
        <f t="array" aca="1" ref="D670" ca="1">IF(INDIRECT("'Student_Record 1'!G" &amp; ROW())="", "", INDIRECT("'Student_Record 1'!G" &amp; ROW()))</f>
        <v/>
      </c>
      <c r="E670" s="8" t="str" cm="1">
        <f t="array" aca="1" ref="E670" ca="1">IF(INDIRECT("'Student_Record 1'!I" &amp; ROW())="", "", INDIRECT("'Student_Record 1'!I" &amp; ROW()))</f>
        <v/>
      </c>
      <c r="F670" s="8" t="str" cm="1">
        <f t="array" aca="1" ref="F670" ca="1">IF(INDIRECT("'Student_Record 1'!O" &amp; ROW())="", "", INDIRECT("'Student_Record 1'!O" &amp; ROW()))</f>
        <v/>
      </c>
      <c r="G670" s="11"/>
      <c r="I670" s="11"/>
      <c r="J670" s="11"/>
      <c r="K670" s="11"/>
      <c r="L670" s="11"/>
      <c r="M670" s="11"/>
      <c r="N670" s="11"/>
      <c r="O670" s="11"/>
      <c r="P670" s="11"/>
      <c r="Q670" s="11"/>
    </row>
    <row r="671" spans="1:17" x14ac:dyDescent="0.25">
      <c r="A671" s="8" t="str" cm="1">
        <f t="array" aca="1" ref="A671" ca="1">IF(INDIRECT("'Student_Record 1'!A" &amp; ROW())="", "", INDIRECT("'Student_Record 1'!A" &amp; ROW()))</f>
        <v/>
      </c>
      <c r="B671" s="8" t="str" cm="1">
        <f t="array" aca="1" ref="B671" ca="1">IF(INDIRECT("'Student_Record 1'!C" &amp; ROW())="", "", INDIRECT("'Student_Record 1'!C" &amp; ROW()))</f>
        <v/>
      </c>
      <c r="C671" s="8" t="str" cm="1">
        <f t="array" aca="1" ref="C671" ca="1">IF(INDIRECT("'Student_Record 1'!E" &amp; ROW())="", "", INDIRECT("'Student_Record 1'!E" &amp; ROW()))</f>
        <v/>
      </c>
      <c r="D671" s="8" t="str" cm="1">
        <f t="array" aca="1" ref="D671" ca="1">IF(INDIRECT("'Student_Record 1'!G" &amp; ROW())="", "", INDIRECT("'Student_Record 1'!G" &amp; ROW()))</f>
        <v/>
      </c>
      <c r="E671" s="8" t="str" cm="1">
        <f t="array" aca="1" ref="E671" ca="1">IF(INDIRECT("'Student_Record 1'!I" &amp; ROW())="", "", INDIRECT("'Student_Record 1'!I" &amp; ROW()))</f>
        <v/>
      </c>
      <c r="F671" s="8" t="str" cm="1">
        <f t="array" aca="1" ref="F671" ca="1">IF(INDIRECT("'Student_Record 1'!O" &amp; ROW())="", "", INDIRECT("'Student_Record 1'!O" &amp; ROW()))</f>
        <v/>
      </c>
      <c r="G671" s="11"/>
      <c r="I671" s="11"/>
      <c r="J671" s="11"/>
      <c r="K671" s="11"/>
      <c r="L671" s="11"/>
      <c r="M671" s="11"/>
      <c r="N671" s="11"/>
      <c r="O671" s="11"/>
      <c r="P671" s="11"/>
      <c r="Q671" s="11"/>
    </row>
    <row r="672" spans="1:17" x14ac:dyDescent="0.25">
      <c r="A672" s="8" t="str" cm="1">
        <f t="array" aca="1" ref="A672" ca="1">IF(INDIRECT("'Student_Record 1'!A" &amp; ROW())="", "", INDIRECT("'Student_Record 1'!A" &amp; ROW()))</f>
        <v/>
      </c>
      <c r="B672" s="8" t="str" cm="1">
        <f t="array" aca="1" ref="B672" ca="1">IF(INDIRECT("'Student_Record 1'!C" &amp; ROW())="", "", INDIRECT("'Student_Record 1'!C" &amp; ROW()))</f>
        <v/>
      </c>
      <c r="C672" s="8" t="str" cm="1">
        <f t="array" aca="1" ref="C672" ca="1">IF(INDIRECT("'Student_Record 1'!E" &amp; ROW())="", "", INDIRECT("'Student_Record 1'!E" &amp; ROW()))</f>
        <v/>
      </c>
      <c r="D672" s="8" t="str" cm="1">
        <f t="array" aca="1" ref="D672" ca="1">IF(INDIRECT("'Student_Record 1'!G" &amp; ROW())="", "", INDIRECT("'Student_Record 1'!G" &amp; ROW()))</f>
        <v/>
      </c>
      <c r="E672" s="8" t="str" cm="1">
        <f t="array" aca="1" ref="E672" ca="1">IF(INDIRECT("'Student_Record 1'!I" &amp; ROW())="", "", INDIRECT("'Student_Record 1'!I" &amp; ROW()))</f>
        <v/>
      </c>
      <c r="F672" s="8" t="str" cm="1">
        <f t="array" aca="1" ref="F672" ca="1">IF(INDIRECT("'Student_Record 1'!O" &amp; ROW())="", "", INDIRECT("'Student_Record 1'!O" &amp; ROW()))</f>
        <v/>
      </c>
      <c r="G672" s="11"/>
      <c r="I672" s="11"/>
      <c r="J672" s="11"/>
      <c r="K672" s="11"/>
      <c r="L672" s="11"/>
      <c r="M672" s="11"/>
      <c r="N672" s="11"/>
      <c r="O672" s="11"/>
      <c r="P672" s="11"/>
      <c r="Q672" s="11"/>
    </row>
    <row r="673" spans="1:17" x14ac:dyDescent="0.25">
      <c r="A673" s="8" t="str" cm="1">
        <f t="array" aca="1" ref="A673" ca="1">IF(INDIRECT("'Student_Record 1'!A" &amp; ROW())="", "", INDIRECT("'Student_Record 1'!A" &amp; ROW()))</f>
        <v/>
      </c>
      <c r="B673" s="8" t="str" cm="1">
        <f t="array" aca="1" ref="B673" ca="1">IF(INDIRECT("'Student_Record 1'!C" &amp; ROW())="", "", INDIRECT("'Student_Record 1'!C" &amp; ROW()))</f>
        <v/>
      </c>
      <c r="C673" s="8" t="str" cm="1">
        <f t="array" aca="1" ref="C673" ca="1">IF(INDIRECT("'Student_Record 1'!E" &amp; ROW())="", "", INDIRECT("'Student_Record 1'!E" &amp; ROW()))</f>
        <v/>
      </c>
      <c r="D673" s="8" t="str" cm="1">
        <f t="array" aca="1" ref="D673" ca="1">IF(INDIRECT("'Student_Record 1'!G" &amp; ROW())="", "", INDIRECT("'Student_Record 1'!G" &amp; ROW()))</f>
        <v/>
      </c>
      <c r="E673" s="8" t="str" cm="1">
        <f t="array" aca="1" ref="E673" ca="1">IF(INDIRECT("'Student_Record 1'!I" &amp; ROW())="", "", INDIRECT("'Student_Record 1'!I" &amp; ROW()))</f>
        <v/>
      </c>
      <c r="F673" s="8" t="str" cm="1">
        <f t="array" aca="1" ref="F673" ca="1">IF(INDIRECT("'Student_Record 1'!O" &amp; ROW())="", "", INDIRECT("'Student_Record 1'!O" &amp; ROW()))</f>
        <v/>
      </c>
      <c r="G673" s="11"/>
      <c r="I673" s="11"/>
      <c r="J673" s="11"/>
      <c r="K673" s="11"/>
      <c r="L673" s="11"/>
      <c r="M673" s="11"/>
      <c r="N673" s="11"/>
      <c r="O673" s="11"/>
      <c r="P673" s="11"/>
      <c r="Q673" s="11"/>
    </row>
    <row r="674" spans="1:17" x14ac:dyDescent="0.25">
      <c r="A674" s="8" t="str" cm="1">
        <f t="array" aca="1" ref="A674" ca="1">IF(INDIRECT("'Student_Record 1'!A" &amp; ROW())="", "", INDIRECT("'Student_Record 1'!A" &amp; ROW()))</f>
        <v/>
      </c>
      <c r="B674" s="8" t="str" cm="1">
        <f t="array" aca="1" ref="B674" ca="1">IF(INDIRECT("'Student_Record 1'!C" &amp; ROW())="", "", INDIRECT("'Student_Record 1'!C" &amp; ROW()))</f>
        <v/>
      </c>
      <c r="C674" s="8" t="str" cm="1">
        <f t="array" aca="1" ref="C674" ca="1">IF(INDIRECT("'Student_Record 1'!E" &amp; ROW())="", "", INDIRECT("'Student_Record 1'!E" &amp; ROW()))</f>
        <v/>
      </c>
      <c r="D674" s="8" t="str" cm="1">
        <f t="array" aca="1" ref="D674" ca="1">IF(INDIRECT("'Student_Record 1'!G" &amp; ROW())="", "", INDIRECT("'Student_Record 1'!G" &amp; ROW()))</f>
        <v/>
      </c>
      <c r="E674" s="8" t="str" cm="1">
        <f t="array" aca="1" ref="E674" ca="1">IF(INDIRECT("'Student_Record 1'!I" &amp; ROW())="", "", INDIRECT("'Student_Record 1'!I" &amp; ROW()))</f>
        <v/>
      </c>
      <c r="F674" s="8" t="str" cm="1">
        <f t="array" aca="1" ref="F674" ca="1">IF(INDIRECT("'Student_Record 1'!O" &amp; ROW())="", "", INDIRECT("'Student_Record 1'!O" &amp; ROW()))</f>
        <v/>
      </c>
      <c r="G674" s="11"/>
      <c r="I674" s="11"/>
      <c r="J674" s="11"/>
      <c r="K674" s="11"/>
      <c r="L674" s="11"/>
      <c r="M674" s="11"/>
      <c r="N674" s="11"/>
      <c r="O674" s="11"/>
      <c r="P674" s="11"/>
      <c r="Q674" s="11"/>
    </row>
    <row r="675" spans="1:17" x14ac:dyDescent="0.25">
      <c r="A675" s="8" t="str" cm="1">
        <f t="array" aca="1" ref="A675" ca="1">IF(INDIRECT("'Student_Record 1'!A" &amp; ROW())="", "", INDIRECT("'Student_Record 1'!A" &amp; ROW()))</f>
        <v/>
      </c>
      <c r="B675" s="8" t="str" cm="1">
        <f t="array" aca="1" ref="B675" ca="1">IF(INDIRECT("'Student_Record 1'!C" &amp; ROW())="", "", INDIRECT("'Student_Record 1'!C" &amp; ROW()))</f>
        <v/>
      </c>
      <c r="C675" s="8" t="str" cm="1">
        <f t="array" aca="1" ref="C675" ca="1">IF(INDIRECT("'Student_Record 1'!E" &amp; ROW())="", "", INDIRECT("'Student_Record 1'!E" &amp; ROW()))</f>
        <v/>
      </c>
      <c r="D675" s="8" t="str" cm="1">
        <f t="array" aca="1" ref="D675" ca="1">IF(INDIRECT("'Student_Record 1'!G" &amp; ROW())="", "", INDIRECT("'Student_Record 1'!G" &amp; ROW()))</f>
        <v/>
      </c>
      <c r="E675" s="8" t="str" cm="1">
        <f t="array" aca="1" ref="E675" ca="1">IF(INDIRECT("'Student_Record 1'!I" &amp; ROW())="", "", INDIRECT("'Student_Record 1'!I" &amp; ROW()))</f>
        <v/>
      </c>
      <c r="F675" s="8" t="str" cm="1">
        <f t="array" aca="1" ref="F675" ca="1">IF(INDIRECT("'Student_Record 1'!O" &amp; ROW())="", "", INDIRECT("'Student_Record 1'!O" &amp; ROW()))</f>
        <v/>
      </c>
      <c r="G675" s="11"/>
      <c r="I675" s="11"/>
      <c r="J675" s="11"/>
      <c r="K675" s="11"/>
      <c r="L675" s="11"/>
      <c r="M675" s="11"/>
      <c r="N675" s="11"/>
      <c r="O675" s="11"/>
      <c r="P675" s="11"/>
      <c r="Q675" s="11"/>
    </row>
    <row r="676" spans="1:17" x14ac:dyDescent="0.25">
      <c r="A676" s="8" t="str" cm="1">
        <f t="array" aca="1" ref="A676" ca="1">IF(INDIRECT("'Student_Record 1'!A" &amp; ROW())="", "", INDIRECT("'Student_Record 1'!A" &amp; ROW()))</f>
        <v/>
      </c>
      <c r="B676" s="8" t="str" cm="1">
        <f t="array" aca="1" ref="B676" ca="1">IF(INDIRECT("'Student_Record 1'!C" &amp; ROW())="", "", INDIRECT("'Student_Record 1'!C" &amp; ROW()))</f>
        <v/>
      </c>
      <c r="C676" s="8" t="str" cm="1">
        <f t="array" aca="1" ref="C676" ca="1">IF(INDIRECT("'Student_Record 1'!E" &amp; ROW())="", "", INDIRECT("'Student_Record 1'!E" &amp; ROW()))</f>
        <v/>
      </c>
      <c r="D676" s="8" t="str" cm="1">
        <f t="array" aca="1" ref="D676" ca="1">IF(INDIRECT("'Student_Record 1'!G" &amp; ROW())="", "", INDIRECT("'Student_Record 1'!G" &amp; ROW()))</f>
        <v/>
      </c>
      <c r="E676" s="8" t="str" cm="1">
        <f t="array" aca="1" ref="E676" ca="1">IF(INDIRECT("'Student_Record 1'!I" &amp; ROW())="", "", INDIRECT("'Student_Record 1'!I" &amp; ROW()))</f>
        <v/>
      </c>
      <c r="F676" s="8" t="str" cm="1">
        <f t="array" aca="1" ref="F676" ca="1">IF(INDIRECT("'Student_Record 1'!O" &amp; ROW())="", "", INDIRECT("'Student_Record 1'!O" &amp; ROW()))</f>
        <v/>
      </c>
      <c r="G676" s="11"/>
      <c r="I676" s="11"/>
      <c r="J676" s="11"/>
      <c r="K676" s="11"/>
      <c r="L676" s="11"/>
      <c r="M676" s="11"/>
      <c r="N676" s="11"/>
      <c r="O676" s="11"/>
      <c r="P676" s="11"/>
      <c r="Q676" s="11"/>
    </row>
    <row r="677" spans="1:17" x14ac:dyDescent="0.25">
      <c r="A677" s="8" t="str" cm="1">
        <f t="array" aca="1" ref="A677" ca="1">IF(INDIRECT("'Student_Record 1'!A" &amp; ROW())="", "", INDIRECT("'Student_Record 1'!A" &amp; ROW()))</f>
        <v/>
      </c>
      <c r="B677" s="8" t="str" cm="1">
        <f t="array" aca="1" ref="B677" ca="1">IF(INDIRECT("'Student_Record 1'!C" &amp; ROW())="", "", INDIRECT("'Student_Record 1'!C" &amp; ROW()))</f>
        <v/>
      </c>
      <c r="C677" s="8" t="str" cm="1">
        <f t="array" aca="1" ref="C677" ca="1">IF(INDIRECT("'Student_Record 1'!E" &amp; ROW())="", "", INDIRECT("'Student_Record 1'!E" &amp; ROW()))</f>
        <v/>
      </c>
      <c r="D677" s="8" t="str" cm="1">
        <f t="array" aca="1" ref="D677" ca="1">IF(INDIRECT("'Student_Record 1'!G" &amp; ROW())="", "", INDIRECT("'Student_Record 1'!G" &amp; ROW()))</f>
        <v/>
      </c>
      <c r="E677" s="8" t="str" cm="1">
        <f t="array" aca="1" ref="E677" ca="1">IF(INDIRECT("'Student_Record 1'!I" &amp; ROW())="", "", INDIRECT("'Student_Record 1'!I" &amp; ROW()))</f>
        <v/>
      </c>
      <c r="F677" s="8" t="str" cm="1">
        <f t="array" aca="1" ref="F677" ca="1">IF(INDIRECT("'Student_Record 1'!O" &amp; ROW())="", "", INDIRECT("'Student_Record 1'!O" &amp; ROW()))</f>
        <v/>
      </c>
      <c r="G677" s="11"/>
      <c r="I677" s="11"/>
      <c r="J677" s="11"/>
      <c r="K677" s="11"/>
      <c r="L677" s="11"/>
      <c r="M677" s="11"/>
      <c r="N677" s="11"/>
      <c r="O677" s="11"/>
      <c r="P677" s="11"/>
      <c r="Q677" s="11"/>
    </row>
    <row r="678" spans="1:17" x14ac:dyDescent="0.25">
      <c r="A678" s="8" t="str" cm="1">
        <f t="array" aca="1" ref="A678" ca="1">IF(INDIRECT("'Student_Record 1'!A" &amp; ROW())="", "", INDIRECT("'Student_Record 1'!A" &amp; ROW()))</f>
        <v/>
      </c>
      <c r="B678" s="8" t="str" cm="1">
        <f t="array" aca="1" ref="B678" ca="1">IF(INDIRECT("'Student_Record 1'!C" &amp; ROW())="", "", INDIRECT("'Student_Record 1'!C" &amp; ROW()))</f>
        <v/>
      </c>
      <c r="C678" s="8" t="str" cm="1">
        <f t="array" aca="1" ref="C678" ca="1">IF(INDIRECT("'Student_Record 1'!E" &amp; ROW())="", "", INDIRECT("'Student_Record 1'!E" &amp; ROW()))</f>
        <v/>
      </c>
      <c r="D678" s="8" t="str" cm="1">
        <f t="array" aca="1" ref="D678" ca="1">IF(INDIRECT("'Student_Record 1'!G" &amp; ROW())="", "", INDIRECT("'Student_Record 1'!G" &amp; ROW()))</f>
        <v/>
      </c>
      <c r="E678" s="8" t="str" cm="1">
        <f t="array" aca="1" ref="E678" ca="1">IF(INDIRECT("'Student_Record 1'!I" &amp; ROW())="", "", INDIRECT("'Student_Record 1'!I" &amp; ROW()))</f>
        <v/>
      </c>
      <c r="F678" s="8" t="str" cm="1">
        <f t="array" aca="1" ref="F678" ca="1">IF(INDIRECT("'Student_Record 1'!O" &amp; ROW())="", "", INDIRECT("'Student_Record 1'!O" &amp; ROW()))</f>
        <v/>
      </c>
      <c r="G678" s="11"/>
      <c r="I678" s="11"/>
      <c r="J678" s="11"/>
      <c r="K678" s="11"/>
      <c r="L678" s="11"/>
      <c r="M678" s="11"/>
      <c r="N678" s="11"/>
      <c r="O678" s="11"/>
      <c r="P678" s="11"/>
      <c r="Q678" s="11"/>
    </row>
    <row r="679" spans="1:17" x14ac:dyDescent="0.25">
      <c r="A679" s="8" t="str" cm="1">
        <f t="array" aca="1" ref="A679" ca="1">IF(INDIRECT("'Student_Record 1'!A" &amp; ROW())="", "", INDIRECT("'Student_Record 1'!A" &amp; ROW()))</f>
        <v/>
      </c>
      <c r="B679" s="8" t="str" cm="1">
        <f t="array" aca="1" ref="B679" ca="1">IF(INDIRECT("'Student_Record 1'!C" &amp; ROW())="", "", INDIRECT("'Student_Record 1'!C" &amp; ROW()))</f>
        <v/>
      </c>
      <c r="C679" s="8" t="str" cm="1">
        <f t="array" aca="1" ref="C679" ca="1">IF(INDIRECT("'Student_Record 1'!E" &amp; ROW())="", "", INDIRECT("'Student_Record 1'!E" &amp; ROW()))</f>
        <v/>
      </c>
      <c r="D679" s="8" t="str" cm="1">
        <f t="array" aca="1" ref="D679" ca="1">IF(INDIRECT("'Student_Record 1'!G" &amp; ROW())="", "", INDIRECT("'Student_Record 1'!G" &amp; ROW()))</f>
        <v/>
      </c>
      <c r="E679" s="8" t="str" cm="1">
        <f t="array" aca="1" ref="E679" ca="1">IF(INDIRECT("'Student_Record 1'!I" &amp; ROW())="", "", INDIRECT("'Student_Record 1'!I" &amp; ROW()))</f>
        <v/>
      </c>
      <c r="F679" s="8" t="str" cm="1">
        <f t="array" aca="1" ref="F679" ca="1">IF(INDIRECT("'Student_Record 1'!O" &amp; ROW())="", "", INDIRECT("'Student_Record 1'!O" &amp; ROW()))</f>
        <v/>
      </c>
      <c r="G679" s="11"/>
      <c r="I679" s="11"/>
      <c r="J679" s="11"/>
      <c r="K679" s="11"/>
      <c r="L679" s="11"/>
      <c r="M679" s="11"/>
      <c r="N679" s="11"/>
      <c r="O679" s="11"/>
      <c r="P679" s="11"/>
      <c r="Q679" s="11"/>
    </row>
    <row r="680" spans="1:17" x14ac:dyDescent="0.25">
      <c r="A680" s="8" t="str" cm="1">
        <f t="array" aca="1" ref="A680" ca="1">IF(INDIRECT("'Student_Record 1'!A" &amp; ROW())="", "", INDIRECT("'Student_Record 1'!A" &amp; ROW()))</f>
        <v/>
      </c>
      <c r="B680" s="8" t="str" cm="1">
        <f t="array" aca="1" ref="B680" ca="1">IF(INDIRECT("'Student_Record 1'!C" &amp; ROW())="", "", INDIRECT("'Student_Record 1'!C" &amp; ROW()))</f>
        <v/>
      </c>
      <c r="C680" s="8" t="str" cm="1">
        <f t="array" aca="1" ref="C680" ca="1">IF(INDIRECT("'Student_Record 1'!E" &amp; ROW())="", "", INDIRECT("'Student_Record 1'!E" &amp; ROW()))</f>
        <v/>
      </c>
      <c r="D680" s="8" t="str" cm="1">
        <f t="array" aca="1" ref="D680" ca="1">IF(INDIRECT("'Student_Record 1'!G" &amp; ROW())="", "", INDIRECT("'Student_Record 1'!G" &amp; ROW()))</f>
        <v/>
      </c>
      <c r="E680" s="8" t="str" cm="1">
        <f t="array" aca="1" ref="E680" ca="1">IF(INDIRECT("'Student_Record 1'!I" &amp; ROW())="", "", INDIRECT("'Student_Record 1'!I" &amp; ROW()))</f>
        <v/>
      </c>
      <c r="F680" s="8" t="str" cm="1">
        <f t="array" aca="1" ref="F680" ca="1">IF(INDIRECT("'Student_Record 1'!O" &amp; ROW())="", "", INDIRECT("'Student_Record 1'!O" &amp; ROW()))</f>
        <v/>
      </c>
      <c r="G680" s="11"/>
      <c r="I680" s="11"/>
      <c r="J680" s="11"/>
      <c r="K680" s="11"/>
      <c r="L680" s="11"/>
      <c r="M680" s="11"/>
      <c r="N680" s="11"/>
      <c r="O680" s="11"/>
      <c r="P680" s="11"/>
      <c r="Q680" s="11"/>
    </row>
    <row r="681" spans="1:17" x14ac:dyDescent="0.25">
      <c r="A681" s="8" t="str" cm="1">
        <f t="array" aca="1" ref="A681" ca="1">IF(INDIRECT("'Student_Record 1'!A" &amp; ROW())="", "", INDIRECT("'Student_Record 1'!A" &amp; ROW()))</f>
        <v/>
      </c>
      <c r="B681" s="8" t="str" cm="1">
        <f t="array" aca="1" ref="B681" ca="1">IF(INDIRECT("'Student_Record 1'!C" &amp; ROW())="", "", INDIRECT("'Student_Record 1'!C" &amp; ROW()))</f>
        <v/>
      </c>
      <c r="C681" s="8" t="str" cm="1">
        <f t="array" aca="1" ref="C681" ca="1">IF(INDIRECT("'Student_Record 1'!E" &amp; ROW())="", "", INDIRECT("'Student_Record 1'!E" &amp; ROW()))</f>
        <v/>
      </c>
      <c r="D681" s="8" t="str" cm="1">
        <f t="array" aca="1" ref="D681" ca="1">IF(INDIRECT("'Student_Record 1'!G" &amp; ROW())="", "", INDIRECT("'Student_Record 1'!G" &amp; ROW()))</f>
        <v/>
      </c>
      <c r="E681" s="8" t="str" cm="1">
        <f t="array" aca="1" ref="E681" ca="1">IF(INDIRECT("'Student_Record 1'!I" &amp; ROW())="", "", INDIRECT("'Student_Record 1'!I" &amp; ROW()))</f>
        <v/>
      </c>
      <c r="F681" s="8" t="str" cm="1">
        <f t="array" aca="1" ref="F681" ca="1">IF(INDIRECT("'Student_Record 1'!O" &amp; ROW())="", "", INDIRECT("'Student_Record 1'!O" &amp; ROW()))</f>
        <v/>
      </c>
      <c r="G681" s="11"/>
      <c r="I681" s="11"/>
      <c r="J681" s="11"/>
      <c r="K681" s="11"/>
      <c r="L681" s="11"/>
      <c r="M681" s="11"/>
      <c r="N681" s="11"/>
      <c r="O681" s="11"/>
      <c r="P681" s="11"/>
      <c r="Q681" s="11"/>
    </row>
    <row r="682" spans="1:17" x14ac:dyDescent="0.25">
      <c r="A682" s="8" t="str" cm="1">
        <f t="array" aca="1" ref="A682" ca="1">IF(INDIRECT("'Student_Record 1'!A" &amp; ROW())="", "", INDIRECT("'Student_Record 1'!A" &amp; ROW()))</f>
        <v/>
      </c>
      <c r="B682" s="8" t="str" cm="1">
        <f t="array" aca="1" ref="B682" ca="1">IF(INDIRECT("'Student_Record 1'!C" &amp; ROW())="", "", INDIRECT("'Student_Record 1'!C" &amp; ROW()))</f>
        <v/>
      </c>
      <c r="C682" s="8" t="str" cm="1">
        <f t="array" aca="1" ref="C682" ca="1">IF(INDIRECT("'Student_Record 1'!E" &amp; ROW())="", "", INDIRECT("'Student_Record 1'!E" &amp; ROW()))</f>
        <v/>
      </c>
      <c r="D682" s="8" t="str" cm="1">
        <f t="array" aca="1" ref="D682" ca="1">IF(INDIRECT("'Student_Record 1'!G" &amp; ROW())="", "", INDIRECT("'Student_Record 1'!G" &amp; ROW()))</f>
        <v/>
      </c>
      <c r="E682" s="8" t="str" cm="1">
        <f t="array" aca="1" ref="E682" ca="1">IF(INDIRECT("'Student_Record 1'!I" &amp; ROW())="", "", INDIRECT("'Student_Record 1'!I" &amp; ROW()))</f>
        <v/>
      </c>
      <c r="F682" s="8" t="str" cm="1">
        <f t="array" aca="1" ref="F682" ca="1">IF(INDIRECT("'Student_Record 1'!O" &amp; ROW())="", "", INDIRECT("'Student_Record 1'!O" &amp; ROW()))</f>
        <v/>
      </c>
      <c r="G682" s="11"/>
      <c r="I682" s="11"/>
      <c r="J682" s="11"/>
      <c r="K682" s="11"/>
      <c r="L682" s="11"/>
      <c r="M682" s="11"/>
      <c r="N682" s="11"/>
      <c r="O682" s="11"/>
      <c r="P682" s="11"/>
      <c r="Q682" s="11"/>
    </row>
    <row r="683" spans="1:17" x14ac:dyDescent="0.25">
      <c r="A683" s="8" t="str" cm="1">
        <f t="array" aca="1" ref="A683" ca="1">IF(INDIRECT("'Student_Record 1'!A" &amp; ROW())="", "", INDIRECT("'Student_Record 1'!A" &amp; ROW()))</f>
        <v/>
      </c>
      <c r="B683" s="8" t="str" cm="1">
        <f t="array" aca="1" ref="B683" ca="1">IF(INDIRECT("'Student_Record 1'!C" &amp; ROW())="", "", INDIRECT("'Student_Record 1'!C" &amp; ROW()))</f>
        <v/>
      </c>
      <c r="C683" s="8" t="str" cm="1">
        <f t="array" aca="1" ref="C683" ca="1">IF(INDIRECT("'Student_Record 1'!E" &amp; ROW())="", "", INDIRECT("'Student_Record 1'!E" &amp; ROW()))</f>
        <v/>
      </c>
      <c r="D683" s="8" t="str" cm="1">
        <f t="array" aca="1" ref="D683" ca="1">IF(INDIRECT("'Student_Record 1'!G" &amp; ROW())="", "", INDIRECT("'Student_Record 1'!G" &amp; ROW()))</f>
        <v/>
      </c>
      <c r="E683" s="8" t="str" cm="1">
        <f t="array" aca="1" ref="E683" ca="1">IF(INDIRECT("'Student_Record 1'!I" &amp; ROW())="", "", INDIRECT("'Student_Record 1'!I" &amp; ROW()))</f>
        <v/>
      </c>
      <c r="F683" s="8" t="str" cm="1">
        <f t="array" aca="1" ref="F683" ca="1">IF(INDIRECT("'Student_Record 1'!O" &amp; ROW())="", "", INDIRECT("'Student_Record 1'!O" &amp; ROW()))</f>
        <v/>
      </c>
      <c r="G683" s="11"/>
      <c r="I683" s="11"/>
      <c r="J683" s="11"/>
      <c r="K683" s="11"/>
      <c r="L683" s="11"/>
      <c r="M683" s="11"/>
      <c r="N683" s="11"/>
      <c r="O683" s="11"/>
      <c r="P683" s="11"/>
      <c r="Q683" s="11"/>
    </row>
    <row r="684" spans="1:17" x14ac:dyDescent="0.25">
      <c r="A684" s="8" t="str" cm="1">
        <f t="array" aca="1" ref="A684" ca="1">IF(INDIRECT("'Student_Record 1'!A" &amp; ROW())="", "", INDIRECT("'Student_Record 1'!A" &amp; ROW()))</f>
        <v/>
      </c>
      <c r="B684" s="8" t="str" cm="1">
        <f t="array" aca="1" ref="B684" ca="1">IF(INDIRECT("'Student_Record 1'!C" &amp; ROW())="", "", INDIRECT("'Student_Record 1'!C" &amp; ROW()))</f>
        <v/>
      </c>
      <c r="C684" s="8" t="str" cm="1">
        <f t="array" aca="1" ref="C684" ca="1">IF(INDIRECT("'Student_Record 1'!E" &amp; ROW())="", "", INDIRECT("'Student_Record 1'!E" &amp; ROW()))</f>
        <v/>
      </c>
      <c r="D684" s="8" t="str" cm="1">
        <f t="array" aca="1" ref="D684" ca="1">IF(INDIRECT("'Student_Record 1'!G" &amp; ROW())="", "", INDIRECT("'Student_Record 1'!G" &amp; ROW()))</f>
        <v/>
      </c>
      <c r="E684" s="8" t="str" cm="1">
        <f t="array" aca="1" ref="E684" ca="1">IF(INDIRECT("'Student_Record 1'!I" &amp; ROW())="", "", INDIRECT("'Student_Record 1'!I" &amp; ROW()))</f>
        <v/>
      </c>
      <c r="F684" s="8" t="str" cm="1">
        <f t="array" aca="1" ref="F684" ca="1">IF(INDIRECT("'Student_Record 1'!O" &amp; ROW())="", "", INDIRECT("'Student_Record 1'!O" &amp; ROW()))</f>
        <v/>
      </c>
      <c r="G684" s="11"/>
      <c r="I684" s="11"/>
      <c r="J684" s="11"/>
      <c r="K684" s="11"/>
      <c r="L684" s="11"/>
      <c r="M684" s="11"/>
      <c r="N684" s="11"/>
      <c r="O684" s="11"/>
      <c r="P684" s="11"/>
      <c r="Q684" s="11"/>
    </row>
    <row r="685" spans="1:17" x14ac:dyDescent="0.25">
      <c r="A685" s="8" t="str" cm="1">
        <f t="array" aca="1" ref="A685" ca="1">IF(INDIRECT("'Student_Record 1'!A" &amp; ROW())="", "", INDIRECT("'Student_Record 1'!A" &amp; ROW()))</f>
        <v/>
      </c>
      <c r="B685" s="8" t="str" cm="1">
        <f t="array" aca="1" ref="B685" ca="1">IF(INDIRECT("'Student_Record 1'!C" &amp; ROW())="", "", INDIRECT("'Student_Record 1'!C" &amp; ROW()))</f>
        <v/>
      </c>
      <c r="C685" s="8" t="str" cm="1">
        <f t="array" aca="1" ref="C685" ca="1">IF(INDIRECT("'Student_Record 1'!E" &amp; ROW())="", "", INDIRECT("'Student_Record 1'!E" &amp; ROW()))</f>
        <v/>
      </c>
      <c r="D685" s="8" t="str" cm="1">
        <f t="array" aca="1" ref="D685" ca="1">IF(INDIRECT("'Student_Record 1'!G" &amp; ROW())="", "", INDIRECT("'Student_Record 1'!G" &amp; ROW()))</f>
        <v/>
      </c>
      <c r="E685" s="8" t="str" cm="1">
        <f t="array" aca="1" ref="E685" ca="1">IF(INDIRECT("'Student_Record 1'!I" &amp; ROW())="", "", INDIRECT("'Student_Record 1'!I" &amp; ROW()))</f>
        <v/>
      </c>
      <c r="F685" s="8" t="str" cm="1">
        <f t="array" aca="1" ref="F685" ca="1">IF(INDIRECT("'Student_Record 1'!O" &amp; ROW())="", "", INDIRECT("'Student_Record 1'!O" &amp; ROW()))</f>
        <v/>
      </c>
      <c r="G685" s="11"/>
      <c r="I685" s="11"/>
      <c r="J685" s="11"/>
      <c r="K685" s="11"/>
      <c r="L685" s="11"/>
      <c r="M685" s="11"/>
      <c r="N685" s="11"/>
      <c r="O685" s="11"/>
      <c r="P685" s="11"/>
      <c r="Q685" s="11"/>
    </row>
    <row r="686" spans="1:17" x14ac:dyDescent="0.25">
      <c r="A686" s="8" t="str" cm="1">
        <f t="array" aca="1" ref="A686" ca="1">IF(INDIRECT("'Student_Record 1'!A" &amp; ROW())="", "", INDIRECT("'Student_Record 1'!A" &amp; ROW()))</f>
        <v/>
      </c>
      <c r="B686" s="8" t="str" cm="1">
        <f t="array" aca="1" ref="B686" ca="1">IF(INDIRECT("'Student_Record 1'!C" &amp; ROW())="", "", INDIRECT("'Student_Record 1'!C" &amp; ROW()))</f>
        <v/>
      </c>
      <c r="C686" s="8" t="str" cm="1">
        <f t="array" aca="1" ref="C686" ca="1">IF(INDIRECT("'Student_Record 1'!E" &amp; ROW())="", "", INDIRECT("'Student_Record 1'!E" &amp; ROW()))</f>
        <v/>
      </c>
      <c r="D686" s="8" t="str" cm="1">
        <f t="array" aca="1" ref="D686" ca="1">IF(INDIRECT("'Student_Record 1'!G" &amp; ROW())="", "", INDIRECT("'Student_Record 1'!G" &amp; ROW()))</f>
        <v/>
      </c>
      <c r="E686" s="8" t="str" cm="1">
        <f t="array" aca="1" ref="E686" ca="1">IF(INDIRECT("'Student_Record 1'!I" &amp; ROW())="", "", INDIRECT("'Student_Record 1'!I" &amp; ROW()))</f>
        <v/>
      </c>
      <c r="F686" s="8" t="str" cm="1">
        <f t="array" aca="1" ref="F686" ca="1">IF(INDIRECT("'Student_Record 1'!O" &amp; ROW())="", "", INDIRECT("'Student_Record 1'!O" &amp; ROW()))</f>
        <v/>
      </c>
      <c r="G686" s="11"/>
      <c r="I686" s="11"/>
      <c r="J686" s="11"/>
      <c r="K686" s="11"/>
      <c r="L686" s="11"/>
      <c r="M686" s="11"/>
      <c r="N686" s="11"/>
      <c r="O686" s="11"/>
      <c r="P686" s="11"/>
      <c r="Q686" s="11"/>
    </row>
    <row r="687" spans="1:17" x14ac:dyDescent="0.25">
      <c r="A687" s="8" t="str" cm="1">
        <f t="array" aca="1" ref="A687" ca="1">IF(INDIRECT("'Student_Record 1'!A" &amp; ROW())="", "", INDIRECT("'Student_Record 1'!A" &amp; ROW()))</f>
        <v/>
      </c>
      <c r="B687" s="8" t="str" cm="1">
        <f t="array" aca="1" ref="B687" ca="1">IF(INDIRECT("'Student_Record 1'!C" &amp; ROW())="", "", INDIRECT("'Student_Record 1'!C" &amp; ROW()))</f>
        <v/>
      </c>
      <c r="C687" s="8" t="str" cm="1">
        <f t="array" aca="1" ref="C687" ca="1">IF(INDIRECT("'Student_Record 1'!E" &amp; ROW())="", "", INDIRECT("'Student_Record 1'!E" &amp; ROW()))</f>
        <v/>
      </c>
      <c r="D687" s="8" t="str" cm="1">
        <f t="array" aca="1" ref="D687" ca="1">IF(INDIRECT("'Student_Record 1'!G" &amp; ROW())="", "", INDIRECT("'Student_Record 1'!G" &amp; ROW()))</f>
        <v/>
      </c>
      <c r="E687" s="8" t="str" cm="1">
        <f t="array" aca="1" ref="E687" ca="1">IF(INDIRECT("'Student_Record 1'!I" &amp; ROW())="", "", INDIRECT("'Student_Record 1'!I" &amp; ROW()))</f>
        <v/>
      </c>
      <c r="F687" s="8" t="str" cm="1">
        <f t="array" aca="1" ref="F687" ca="1">IF(INDIRECT("'Student_Record 1'!O" &amp; ROW())="", "", INDIRECT("'Student_Record 1'!O" &amp; ROW()))</f>
        <v/>
      </c>
      <c r="G687" s="11"/>
      <c r="I687" s="11"/>
      <c r="J687" s="11"/>
      <c r="K687" s="11"/>
      <c r="L687" s="11"/>
      <c r="M687" s="11"/>
      <c r="N687" s="11"/>
      <c r="O687" s="11"/>
      <c r="P687" s="11"/>
      <c r="Q687" s="11"/>
    </row>
    <row r="688" spans="1:17" x14ac:dyDescent="0.25">
      <c r="A688" s="8" t="str" cm="1">
        <f t="array" aca="1" ref="A688" ca="1">IF(INDIRECT("'Student_Record 1'!A" &amp; ROW())="", "", INDIRECT("'Student_Record 1'!A" &amp; ROW()))</f>
        <v/>
      </c>
      <c r="B688" s="8" t="str" cm="1">
        <f t="array" aca="1" ref="B688" ca="1">IF(INDIRECT("'Student_Record 1'!C" &amp; ROW())="", "", INDIRECT("'Student_Record 1'!C" &amp; ROW()))</f>
        <v/>
      </c>
      <c r="C688" s="8" t="str" cm="1">
        <f t="array" aca="1" ref="C688" ca="1">IF(INDIRECT("'Student_Record 1'!E" &amp; ROW())="", "", INDIRECT("'Student_Record 1'!E" &amp; ROW()))</f>
        <v/>
      </c>
      <c r="D688" s="8" t="str" cm="1">
        <f t="array" aca="1" ref="D688" ca="1">IF(INDIRECT("'Student_Record 1'!G" &amp; ROW())="", "", INDIRECT("'Student_Record 1'!G" &amp; ROW()))</f>
        <v/>
      </c>
      <c r="E688" s="8" t="str" cm="1">
        <f t="array" aca="1" ref="E688" ca="1">IF(INDIRECT("'Student_Record 1'!I" &amp; ROW())="", "", INDIRECT("'Student_Record 1'!I" &amp; ROW()))</f>
        <v/>
      </c>
      <c r="F688" s="8" t="str" cm="1">
        <f t="array" aca="1" ref="F688" ca="1">IF(INDIRECT("'Student_Record 1'!O" &amp; ROW())="", "", INDIRECT("'Student_Record 1'!O" &amp; ROW()))</f>
        <v/>
      </c>
      <c r="G688" s="11"/>
      <c r="I688" s="11"/>
      <c r="J688" s="11"/>
      <c r="K688" s="11"/>
      <c r="L688" s="11"/>
      <c r="M688" s="11"/>
      <c r="N688" s="11"/>
      <c r="O688" s="11"/>
      <c r="P688" s="11"/>
      <c r="Q688" s="11"/>
    </row>
    <row r="689" spans="1:17" x14ac:dyDescent="0.25">
      <c r="A689" s="8" t="str" cm="1">
        <f t="array" aca="1" ref="A689" ca="1">IF(INDIRECT("'Student_Record 1'!A" &amp; ROW())="", "", INDIRECT("'Student_Record 1'!A" &amp; ROW()))</f>
        <v/>
      </c>
      <c r="B689" s="8" t="str" cm="1">
        <f t="array" aca="1" ref="B689" ca="1">IF(INDIRECT("'Student_Record 1'!C" &amp; ROW())="", "", INDIRECT("'Student_Record 1'!C" &amp; ROW()))</f>
        <v/>
      </c>
      <c r="C689" s="8" t="str" cm="1">
        <f t="array" aca="1" ref="C689" ca="1">IF(INDIRECT("'Student_Record 1'!E" &amp; ROW())="", "", INDIRECT("'Student_Record 1'!E" &amp; ROW()))</f>
        <v/>
      </c>
      <c r="D689" s="8" t="str" cm="1">
        <f t="array" aca="1" ref="D689" ca="1">IF(INDIRECT("'Student_Record 1'!G" &amp; ROW())="", "", INDIRECT("'Student_Record 1'!G" &amp; ROW()))</f>
        <v/>
      </c>
      <c r="E689" s="8" t="str" cm="1">
        <f t="array" aca="1" ref="E689" ca="1">IF(INDIRECT("'Student_Record 1'!I" &amp; ROW())="", "", INDIRECT("'Student_Record 1'!I" &amp; ROW()))</f>
        <v/>
      </c>
      <c r="F689" s="8" t="str" cm="1">
        <f t="array" aca="1" ref="F689" ca="1">IF(INDIRECT("'Student_Record 1'!O" &amp; ROW())="", "", INDIRECT("'Student_Record 1'!O" &amp; ROW()))</f>
        <v/>
      </c>
      <c r="G689" s="11"/>
      <c r="I689" s="11"/>
      <c r="J689" s="11"/>
      <c r="K689" s="11"/>
      <c r="L689" s="11"/>
      <c r="M689" s="11"/>
      <c r="N689" s="11"/>
      <c r="O689" s="11"/>
      <c r="P689" s="11"/>
      <c r="Q689" s="11"/>
    </row>
    <row r="690" spans="1:17" x14ac:dyDescent="0.25">
      <c r="A690" s="8" t="str" cm="1">
        <f t="array" aca="1" ref="A690" ca="1">IF(INDIRECT("'Student_Record 1'!A" &amp; ROW())="", "", INDIRECT("'Student_Record 1'!A" &amp; ROW()))</f>
        <v/>
      </c>
      <c r="B690" s="8" t="str" cm="1">
        <f t="array" aca="1" ref="B690" ca="1">IF(INDIRECT("'Student_Record 1'!C" &amp; ROW())="", "", INDIRECT("'Student_Record 1'!C" &amp; ROW()))</f>
        <v/>
      </c>
      <c r="C690" s="8" t="str" cm="1">
        <f t="array" aca="1" ref="C690" ca="1">IF(INDIRECT("'Student_Record 1'!E" &amp; ROW())="", "", INDIRECT("'Student_Record 1'!E" &amp; ROW()))</f>
        <v/>
      </c>
      <c r="D690" s="8" t="str" cm="1">
        <f t="array" aca="1" ref="D690" ca="1">IF(INDIRECT("'Student_Record 1'!G" &amp; ROW())="", "", INDIRECT("'Student_Record 1'!G" &amp; ROW()))</f>
        <v/>
      </c>
      <c r="E690" s="8" t="str" cm="1">
        <f t="array" aca="1" ref="E690" ca="1">IF(INDIRECT("'Student_Record 1'!I" &amp; ROW())="", "", INDIRECT("'Student_Record 1'!I" &amp; ROW()))</f>
        <v/>
      </c>
      <c r="F690" s="8" t="str" cm="1">
        <f t="array" aca="1" ref="F690" ca="1">IF(INDIRECT("'Student_Record 1'!O" &amp; ROW())="", "", INDIRECT("'Student_Record 1'!O" &amp; ROW()))</f>
        <v/>
      </c>
      <c r="G690" s="11"/>
      <c r="I690" s="11"/>
      <c r="J690" s="11"/>
      <c r="K690" s="11"/>
      <c r="L690" s="11"/>
      <c r="M690" s="11"/>
      <c r="N690" s="11"/>
      <c r="O690" s="11"/>
      <c r="P690" s="11"/>
      <c r="Q690" s="11"/>
    </row>
    <row r="691" spans="1:17" x14ac:dyDescent="0.25">
      <c r="A691" s="8" t="str" cm="1">
        <f t="array" aca="1" ref="A691" ca="1">IF(INDIRECT("'Student_Record 1'!A" &amp; ROW())="", "", INDIRECT("'Student_Record 1'!A" &amp; ROW()))</f>
        <v/>
      </c>
      <c r="B691" s="8" t="str" cm="1">
        <f t="array" aca="1" ref="B691" ca="1">IF(INDIRECT("'Student_Record 1'!C" &amp; ROW())="", "", INDIRECT("'Student_Record 1'!C" &amp; ROW()))</f>
        <v/>
      </c>
      <c r="C691" s="8" t="str" cm="1">
        <f t="array" aca="1" ref="C691" ca="1">IF(INDIRECT("'Student_Record 1'!E" &amp; ROW())="", "", INDIRECT("'Student_Record 1'!E" &amp; ROW()))</f>
        <v/>
      </c>
      <c r="D691" s="8" t="str" cm="1">
        <f t="array" aca="1" ref="D691" ca="1">IF(INDIRECT("'Student_Record 1'!G" &amp; ROW())="", "", INDIRECT("'Student_Record 1'!G" &amp; ROW()))</f>
        <v/>
      </c>
      <c r="E691" s="8" t="str" cm="1">
        <f t="array" aca="1" ref="E691" ca="1">IF(INDIRECT("'Student_Record 1'!I" &amp; ROW())="", "", INDIRECT("'Student_Record 1'!I" &amp; ROW()))</f>
        <v/>
      </c>
      <c r="F691" s="8" t="str" cm="1">
        <f t="array" aca="1" ref="F691" ca="1">IF(INDIRECT("'Student_Record 1'!O" &amp; ROW())="", "", INDIRECT("'Student_Record 1'!O" &amp; ROW()))</f>
        <v/>
      </c>
      <c r="G691" s="11"/>
      <c r="I691" s="11"/>
      <c r="J691" s="11"/>
      <c r="K691" s="11"/>
      <c r="L691" s="11"/>
      <c r="M691" s="11"/>
      <c r="N691" s="11"/>
      <c r="O691" s="11"/>
      <c r="P691" s="11"/>
      <c r="Q691" s="11"/>
    </row>
    <row r="692" spans="1:17" x14ac:dyDescent="0.25">
      <c r="A692" s="8" t="str" cm="1">
        <f t="array" aca="1" ref="A692" ca="1">IF(INDIRECT("'Student_Record 1'!A" &amp; ROW())="", "", INDIRECT("'Student_Record 1'!A" &amp; ROW()))</f>
        <v/>
      </c>
      <c r="B692" s="8" t="str" cm="1">
        <f t="array" aca="1" ref="B692" ca="1">IF(INDIRECT("'Student_Record 1'!C" &amp; ROW())="", "", INDIRECT("'Student_Record 1'!C" &amp; ROW()))</f>
        <v/>
      </c>
      <c r="C692" s="8" t="str" cm="1">
        <f t="array" aca="1" ref="C692" ca="1">IF(INDIRECT("'Student_Record 1'!E" &amp; ROW())="", "", INDIRECT("'Student_Record 1'!E" &amp; ROW()))</f>
        <v/>
      </c>
      <c r="D692" s="8" t="str" cm="1">
        <f t="array" aca="1" ref="D692" ca="1">IF(INDIRECT("'Student_Record 1'!G" &amp; ROW())="", "", INDIRECT("'Student_Record 1'!G" &amp; ROW()))</f>
        <v/>
      </c>
      <c r="E692" s="8" t="str" cm="1">
        <f t="array" aca="1" ref="E692" ca="1">IF(INDIRECT("'Student_Record 1'!I" &amp; ROW())="", "", INDIRECT("'Student_Record 1'!I" &amp; ROW()))</f>
        <v/>
      </c>
      <c r="F692" s="8" t="str" cm="1">
        <f t="array" aca="1" ref="F692" ca="1">IF(INDIRECT("'Student_Record 1'!O" &amp; ROW())="", "", INDIRECT("'Student_Record 1'!O" &amp; ROW()))</f>
        <v/>
      </c>
      <c r="G692" s="11"/>
      <c r="I692" s="11"/>
      <c r="J692" s="11"/>
      <c r="K692" s="11"/>
      <c r="L692" s="11"/>
      <c r="M692" s="11"/>
      <c r="N692" s="11"/>
      <c r="O692" s="11"/>
      <c r="P692" s="11"/>
      <c r="Q692" s="11"/>
    </row>
    <row r="693" spans="1:17" x14ac:dyDescent="0.25">
      <c r="A693" s="8" t="str" cm="1">
        <f t="array" aca="1" ref="A693" ca="1">IF(INDIRECT("'Student_Record 1'!A" &amp; ROW())="", "", INDIRECT("'Student_Record 1'!A" &amp; ROW()))</f>
        <v/>
      </c>
      <c r="B693" s="8" t="str" cm="1">
        <f t="array" aca="1" ref="B693" ca="1">IF(INDIRECT("'Student_Record 1'!C" &amp; ROW())="", "", INDIRECT("'Student_Record 1'!C" &amp; ROW()))</f>
        <v/>
      </c>
      <c r="C693" s="8" t="str" cm="1">
        <f t="array" aca="1" ref="C693" ca="1">IF(INDIRECT("'Student_Record 1'!E" &amp; ROW())="", "", INDIRECT("'Student_Record 1'!E" &amp; ROW()))</f>
        <v/>
      </c>
      <c r="D693" s="8" t="str" cm="1">
        <f t="array" aca="1" ref="D693" ca="1">IF(INDIRECT("'Student_Record 1'!G" &amp; ROW())="", "", INDIRECT("'Student_Record 1'!G" &amp; ROW()))</f>
        <v/>
      </c>
      <c r="E693" s="8" t="str" cm="1">
        <f t="array" aca="1" ref="E693" ca="1">IF(INDIRECT("'Student_Record 1'!I" &amp; ROW())="", "", INDIRECT("'Student_Record 1'!I" &amp; ROW()))</f>
        <v/>
      </c>
      <c r="F693" s="8" t="str" cm="1">
        <f t="array" aca="1" ref="F693" ca="1">IF(INDIRECT("'Student_Record 1'!O" &amp; ROW())="", "", INDIRECT("'Student_Record 1'!O" &amp; ROW()))</f>
        <v/>
      </c>
      <c r="G693" s="11"/>
      <c r="I693" s="11"/>
      <c r="J693" s="11"/>
      <c r="K693" s="11"/>
      <c r="L693" s="11"/>
      <c r="M693" s="11"/>
      <c r="N693" s="11"/>
      <c r="O693" s="11"/>
      <c r="P693" s="11"/>
      <c r="Q693" s="11"/>
    </row>
    <row r="694" spans="1:17" x14ac:dyDescent="0.25">
      <c r="A694" s="8" t="str" cm="1">
        <f t="array" aca="1" ref="A694" ca="1">IF(INDIRECT("'Student_Record 1'!A" &amp; ROW())="", "", INDIRECT("'Student_Record 1'!A" &amp; ROW()))</f>
        <v/>
      </c>
      <c r="B694" s="8" t="str" cm="1">
        <f t="array" aca="1" ref="B694" ca="1">IF(INDIRECT("'Student_Record 1'!C" &amp; ROW())="", "", INDIRECT("'Student_Record 1'!C" &amp; ROW()))</f>
        <v/>
      </c>
      <c r="C694" s="8" t="str" cm="1">
        <f t="array" aca="1" ref="C694" ca="1">IF(INDIRECT("'Student_Record 1'!E" &amp; ROW())="", "", INDIRECT("'Student_Record 1'!E" &amp; ROW()))</f>
        <v/>
      </c>
      <c r="D694" s="8" t="str" cm="1">
        <f t="array" aca="1" ref="D694" ca="1">IF(INDIRECT("'Student_Record 1'!G" &amp; ROW())="", "", INDIRECT("'Student_Record 1'!G" &amp; ROW()))</f>
        <v/>
      </c>
      <c r="E694" s="8" t="str" cm="1">
        <f t="array" aca="1" ref="E694" ca="1">IF(INDIRECT("'Student_Record 1'!I" &amp; ROW())="", "", INDIRECT("'Student_Record 1'!I" &amp; ROW()))</f>
        <v/>
      </c>
      <c r="F694" s="8" t="str" cm="1">
        <f t="array" aca="1" ref="F694" ca="1">IF(INDIRECT("'Student_Record 1'!O" &amp; ROW())="", "", INDIRECT("'Student_Record 1'!O" &amp; ROW()))</f>
        <v/>
      </c>
      <c r="G694" s="11"/>
      <c r="I694" s="11"/>
      <c r="J694" s="11"/>
      <c r="K694" s="11"/>
      <c r="L694" s="11"/>
      <c r="M694" s="11"/>
      <c r="N694" s="11"/>
      <c r="O694" s="11"/>
      <c r="P694" s="11"/>
      <c r="Q694" s="11"/>
    </row>
    <row r="695" spans="1:17" x14ac:dyDescent="0.25">
      <c r="A695" s="8" t="str" cm="1">
        <f t="array" aca="1" ref="A695" ca="1">IF(INDIRECT("'Student_Record 1'!A" &amp; ROW())="", "", INDIRECT("'Student_Record 1'!A" &amp; ROW()))</f>
        <v/>
      </c>
      <c r="B695" s="8" t="str" cm="1">
        <f t="array" aca="1" ref="B695" ca="1">IF(INDIRECT("'Student_Record 1'!C" &amp; ROW())="", "", INDIRECT("'Student_Record 1'!C" &amp; ROW()))</f>
        <v/>
      </c>
      <c r="C695" s="8" t="str" cm="1">
        <f t="array" aca="1" ref="C695" ca="1">IF(INDIRECT("'Student_Record 1'!E" &amp; ROW())="", "", INDIRECT("'Student_Record 1'!E" &amp; ROW()))</f>
        <v/>
      </c>
      <c r="D695" s="8" t="str" cm="1">
        <f t="array" aca="1" ref="D695" ca="1">IF(INDIRECT("'Student_Record 1'!G" &amp; ROW())="", "", INDIRECT("'Student_Record 1'!G" &amp; ROW()))</f>
        <v/>
      </c>
      <c r="E695" s="8" t="str" cm="1">
        <f t="array" aca="1" ref="E695" ca="1">IF(INDIRECT("'Student_Record 1'!I" &amp; ROW())="", "", INDIRECT("'Student_Record 1'!I" &amp; ROW()))</f>
        <v/>
      </c>
      <c r="F695" s="8" t="str" cm="1">
        <f t="array" aca="1" ref="F695" ca="1">IF(INDIRECT("'Student_Record 1'!O" &amp; ROW())="", "", INDIRECT("'Student_Record 1'!O" &amp; ROW()))</f>
        <v/>
      </c>
      <c r="G695" s="11"/>
      <c r="I695" s="11"/>
      <c r="J695" s="11"/>
      <c r="K695" s="11"/>
      <c r="L695" s="11"/>
      <c r="M695" s="11"/>
      <c r="N695" s="11"/>
      <c r="O695" s="11"/>
      <c r="P695" s="11"/>
      <c r="Q695" s="11"/>
    </row>
    <row r="696" spans="1:17" x14ac:dyDescent="0.25">
      <c r="A696" s="8" t="str" cm="1">
        <f t="array" aca="1" ref="A696" ca="1">IF(INDIRECT("'Student_Record 1'!A" &amp; ROW())="", "", INDIRECT("'Student_Record 1'!A" &amp; ROW()))</f>
        <v/>
      </c>
      <c r="B696" s="8" t="str" cm="1">
        <f t="array" aca="1" ref="B696" ca="1">IF(INDIRECT("'Student_Record 1'!C" &amp; ROW())="", "", INDIRECT("'Student_Record 1'!C" &amp; ROW()))</f>
        <v/>
      </c>
      <c r="C696" s="8" t="str" cm="1">
        <f t="array" aca="1" ref="C696" ca="1">IF(INDIRECT("'Student_Record 1'!E" &amp; ROW())="", "", INDIRECT("'Student_Record 1'!E" &amp; ROW()))</f>
        <v/>
      </c>
      <c r="D696" s="8" t="str" cm="1">
        <f t="array" aca="1" ref="D696" ca="1">IF(INDIRECT("'Student_Record 1'!G" &amp; ROW())="", "", INDIRECT("'Student_Record 1'!G" &amp; ROW()))</f>
        <v/>
      </c>
      <c r="E696" s="8" t="str" cm="1">
        <f t="array" aca="1" ref="E696" ca="1">IF(INDIRECT("'Student_Record 1'!I" &amp; ROW())="", "", INDIRECT("'Student_Record 1'!I" &amp; ROW()))</f>
        <v/>
      </c>
      <c r="F696" s="8" t="str" cm="1">
        <f t="array" aca="1" ref="F696" ca="1">IF(INDIRECT("'Student_Record 1'!O" &amp; ROW())="", "", INDIRECT("'Student_Record 1'!O" &amp; ROW()))</f>
        <v/>
      </c>
      <c r="G696" s="11"/>
      <c r="I696" s="11"/>
      <c r="J696" s="11"/>
      <c r="K696" s="11"/>
      <c r="L696" s="11"/>
      <c r="M696" s="11"/>
      <c r="N696" s="11"/>
      <c r="O696" s="11"/>
      <c r="P696" s="11"/>
      <c r="Q696" s="11"/>
    </row>
    <row r="697" spans="1:17" x14ac:dyDescent="0.25">
      <c r="A697" s="8" t="str" cm="1">
        <f t="array" aca="1" ref="A697" ca="1">IF(INDIRECT("'Student_Record 1'!A" &amp; ROW())="", "", INDIRECT("'Student_Record 1'!A" &amp; ROW()))</f>
        <v/>
      </c>
      <c r="B697" s="8" t="str" cm="1">
        <f t="array" aca="1" ref="B697" ca="1">IF(INDIRECT("'Student_Record 1'!C" &amp; ROW())="", "", INDIRECT("'Student_Record 1'!C" &amp; ROW()))</f>
        <v/>
      </c>
      <c r="C697" s="8" t="str" cm="1">
        <f t="array" aca="1" ref="C697" ca="1">IF(INDIRECT("'Student_Record 1'!E" &amp; ROW())="", "", INDIRECT("'Student_Record 1'!E" &amp; ROW()))</f>
        <v/>
      </c>
      <c r="D697" s="8" t="str" cm="1">
        <f t="array" aca="1" ref="D697" ca="1">IF(INDIRECT("'Student_Record 1'!G" &amp; ROW())="", "", INDIRECT("'Student_Record 1'!G" &amp; ROW()))</f>
        <v/>
      </c>
      <c r="E697" s="8" t="str" cm="1">
        <f t="array" aca="1" ref="E697" ca="1">IF(INDIRECT("'Student_Record 1'!I" &amp; ROW())="", "", INDIRECT("'Student_Record 1'!I" &amp; ROW()))</f>
        <v/>
      </c>
      <c r="F697" s="8" t="str" cm="1">
        <f t="array" aca="1" ref="F697" ca="1">IF(INDIRECT("'Student_Record 1'!O" &amp; ROW())="", "", INDIRECT("'Student_Record 1'!O" &amp; ROW()))</f>
        <v/>
      </c>
      <c r="G697" s="11"/>
      <c r="I697" s="11"/>
      <c r="J697" s="11"/>
      <c r="K697" s="11"/>
      <c r="L697" s="11"/>
      <c r="M697" s="11"/>
      <c r="N697" s="11"/>
      <c r="O697" s="11"/>
      <c r="P697" s="11"/>
      <c r="Q697" s="11"/>
    </row>
    <row r="698" spans="1:17" x14ac:dyDescent="0.25">
      <c r="A698" s="8" t="str" cm="1">
        <f t="array" aca="1" ref="A698" ca="1">IF(INDIRECT("'Student_Record 1'!A" &amp; ROW())="", "", INDIRECT("'Student_Record 1'!A" &amp; ROW()))</f>
        <v/>
      </c>
      <c r="B698" s="8" t="str" cm="1">
        <f t="array" aca="1" ref="B698" ca="1">IF(INDIRECT("'Student_Record 1'!C" &amp; ROW())="", "", INDIRECT("'Student_Record 1'!C" &amp; ROW()))</f>
        <v/>
      </c>
      <c r="C698" s="8" t="str" cm="1">
        <f t="array" aca="1" ref="C698" ca="1">IF(INDIRECT("'Student_Record 1'!E" &amp; ROW())="", "", INDIRECT("'Student_Record 1'!E" &amp; ROW()))</f>
        <v/>
      </c>
      <c r="D698" s="8" t="str" cm="1">
        <f t="array" aca="1" ref="D698" ca="1">IF(INDIRECT("'Student_Record 1'!G" &amp; ROW())="", "", INDIRECT("'Student_Record 1'!G" &amp; ROW()))</f>
        <v/>
      </c>
      <c r="E698" s="8" t="str" cm="1">
        <f t="array" aca="1" ref="E698" ca="1">IF(INDIRECT("'Student_Record 1'!I" &amp; ROW())="", "", INDIRECT("'Student_Record 1'!I" &amp; ROW()))</f>
        <v/>
      </c>
      <c r="F698" s="8" t="str" cm="1">
        <f t="array" aca="1" ref="F698" ca="1">IF(INDIRECT("'Student_Record 1'!O" &amp; ROW())="", "", INDIRECT("'Student_Record 1'!O" &amp; ROW()))</f>
        <v/>
      </c>
      <c r="G698" s="11"/>
      <c r="I698" s="11"/>
      <c r="J698" s="11"/>
      <c r="K698" s="11"/>
      <c r="L698" s="11"/>
      <c r="M698" s="11"/>
      <c r="N698" s="11"/>
      <c r="O698" s="11"/>
      <c r="P698" s="11"/>
      <c r="Q698" s="11"/>
    </row>
    <row r="699" spans="1:17" x14ac:dyDescent="0.25">
      <c r="A699" s="8" t="str" cm="1">
        <f t="array" aca="1" ref="A699" ca="1">IF(INDIRECT("'Student_Record 1'!A" &amp; ROW())="", "", INDIRECT("'Student_Record 1'!A" &amp; ROW()))</f>
        <v/>
      </c>
      <c r="B699" s="8" t="str" cm="1">
        <f t="array" aca="1" ref="B699" ca="1">IF(INDIRECT("'Student_Record 1'!C" &amp; ROW())="", "", INDIRECT("'Student_Record 1'!C" &amp; ROW()))</f>
        <v/>
      </c>
      <c r="C699" s="8" t="str" cm="1">
        <f t="array" aca="1" ref="C699" ca="1">IF(INDIRECT("'Student_Record 1'!E" &amp; ROW())="", "", INDIRECT("'Student_Record 1'!E" &amp; ROW()))</f>
        <v/>
      </c>
      <c r="D699" s="8" t="str" cm="1">
        <f t="array" aca="1" ref="D699" ca="1">IF(INDIRECT("'Student_Record 1'!G" &amp; ROW())="", "", INDIRECT("'Student_Record 1'!G" &amp; ROW()))</f>
        <v/>
      </c>
      <c r="E699" s="8" t="str" cm="1">
        <f t="array" aca="1" ref="E699" ca="1">IF(INDIRECT("'Student_Record 1'!I" &amp; ROW())="", "", INDIRECT("'Student_Record 1'!I" &amp; ROW()))</f>
        <v/>
      </c>
      <c r="F699" s="8" t="str" cm="1">
        <f t="array" aca="1" ref="F699" ca="1">IF(INDIRECT("'Student_Record 1'!O" &amp; ROW())="", "", INDIRECT("'Student_Record 1'!O" &amp; ROW()))</f>
        <v/>
      </c>
      <c r="G699" s="11"/>
      <c r="I699" s="11"/>
      <c r="J699" s="11"/>
      <c r="K699" s="11"/>
      <c r="L699" s="11"/>
      <c r="M699" s="11"/>
      <c r="N699" s="11"/>
      <c r="O699" s="11"/>
      <c r="P699" s="11"/>
      <c r="Q699" s="11"/>
    </row>
    <row r="700" spans="1:17" x14ac:dyDescent="0.25">
      <c r="A700" s="8" t="str" cm="1">
        <f t="array" aca="1" ref="A700" ca="1">IF(INDIRECT("'Student_Record 1'!A" &amp; ROW())="", "", INDIRECT("'Student_Record 1'!A" &amp; ROW()))</f>
        <v/>
      </c>
      <c r="B700" s="8" t="str" cm="1">
        <f t="array" aca="1" ref="B700" ca="1">IF(INDIRECT("'Student_Record 1'!C" &amp; ROW())="", "", INDIRECT("'Student_Record 1'!C" &amp; ROW()))</f>
        <v/>
      </c>
      <c r="C700" s="8" t="str" cm="1">
        <f t="array" aca="1" ref="C700" ca="1">IF(INDIRECT("'Student_Record 1'!E" &amp; ROW())="", "", INDIRECT("'Student_Record 1'!E" &amp; ROW()))</f>
        <v/>
      </c>
      <c r="D700" s="8" t="str" cm="1">
        <f t="array" aca="1" ref="D700" ca="1">IF(INDIRECT("'Student_Record 1'!G" &amp; ROW())="", "", INDIRECT("'Student_Record 1'!G" &amp; ROW()))</f>
        <v/>
      </c>
      <c r="E700" s="8" t="str" cm="1">
        <f t="array" aca="1" ref="E700" ca="1">IF(INDIRECT("'Student_Record 1'!I" &amp; ROW())="", "", INDIRECT("'Student_Record 1'!I" &amp; ROW()))</f>
        <v/>
      </c>
      <c r="F700" s="8" t="str" cm="1">
        <f t="array" aca="1" ref="F700" ca="1">IF(INDIRECT("'Student_Record 1'!O" &amp; ROW())="", "", INDIRECT("'Student_Record 1'!O" &amp; ROW()))</f>
        <v/>
      </c>
      <c r="G700" s="11"/>
      <c r="I700" s="11"/>
      <c r="J700" s="11"/>
      <c r="K700" s="11"/>
      <c r="L700" s="11"/>
      <c r="M700" s="11"/>
      <c r="N700" s="11"/>
      <c r="O700" s="11"/>
      <c r="P700" s="11"/>
      <c r="Q700" s="11"/>
    </row>
    <row r="701" spans="1:17" x14ac:dyDescent="0.25">
      <c r="A701" s="8" t="str" cm="1">
        <f t="array" aca="1" ref="A701" ca="1">IF(INDIRECT("'Student_Record 1'!A" &amp; ROW())="", "", INDIRECT("'Student_Record 1'!A" &amp; ROW()))</f>
        <v/>
      </c>
      <c r="B701" s="8" t="str" cm="1">
        <f t="array" aca="1" ref="B701" ca="1">IF(INDIRECT("'Student_Record 1'!C" &amp; ROW())="", "", INDIRECT("'Student_Record 1'!C" &amp; ROW()))</f>
        <v/>
      </c>
      <c r="C701" s="8" t="str" cm="1">
        <f t="array" aca="1" ref="C701" ca="1">IF(INDIRECT("'Student_Record 1'!E" &amp; ROW())="", "", INDIRECT("'Student_Record 1'!E" &amp; ROW()))</f>
        <v/>
      </c>
      <c r="D701" s="8" t="str" cm="1">
        <f t="array" aca="1" ref="D701" ca="1">IF(INDIRECT("'Student_Record 1'!G" &amp; ROW())="", "", INDIRECT("'Student_Record 1'!G" &amp; ROW()))</f>
        <v/>
      </c>
      <c r="E701" s="8" t="str" cm="1">
        <f t="array" aca="1" ref="E701" ca="1">IF(INDIRECT("'Student_Record 1'!I" &amp; ROW())="", "", INDIRECT("'Student_Record 1'!I" &amp; ROW()))</f>
        <v/>
      </c>
      <c r="F701" s="8" t="str" cm="1">
        <f t="array" aca="1" ref="F701" ca="1">IF(INDIRECT("'Student_Record 1'!O" &amp; ROW())="", "", INDIRECT("'Student_Record 1'!O" &amp; ROW()))</f>
        <v/>
      </c>
      <c r="G701" s="11"/>
      <c r="I701" s="11"/>
      <c r="J701" s="11"/>
      <c r="K701" s="11"/>
      <c r="L701" s="11"/>
      <c r="M701" s="11"/>
      <c r="N701" s="11"/>
      <c r="O701" s="11"/>
      <c r="P701" s="11"/>
      <c r="Q701" s="11"/>
    </row>
    <row r="702" spans="1:17" x14ac:dyDescent="0.25">
      <c r="A702" s="8" t="str" cm="1">
        <f t="array" aca="1" ref="A702" ca="1">IF(INDIRECT("'Student_Record 1'!A" &amp; ROW())="", "", INDIRECT("'Student_Record 1'!A" &amp; ROW()))</f>
        <v/>
      </c>
      <c r="B702" s="8" t="str" cm="1">
        <f t="array" aca="1" ref="B702" ca="1">IF(INDIRECT("'Student_Record 1'!C" &amp; ROW())="", "", INDIRECT("'Student_Record 1'!C" &amp; ROW()))</f>
        <v/>
      </c>
      <c r="C702" s="8" t="str" cm="1">
        <f t="array" aca="1" ref="C702" ca="1">IF(INDIRECT("'Student_Record 1'!E" &amp; ROW())="", "", INDIRECT("'Student_Record 1'!E" &amp; ROW()))</f>
        <v/>
      </c>
      <c r="D702" s="8" t="str" cm="1">
        <f t="array" aca="1" ref="D702" ca="1">IF(INDIRECT("'Student_Record 1'!G" &amp; ROW())="", "", INDIRECT("'Student_Record 1'!G" &amp; ROW()))</f>
        <v/>
      </c>
      <c r="E702" s="8" t="str" cm="1">
        <f t="array" aca="1" ref="E702" ca="1">IF(INDIRECT("'Student_Record 1'!I" &amp; ROW())="", "", INDIRECT("'Student_Record 1'!I" &amp; ROW()))</f>
        <v/>
      </c>
      <c r="F702" s="8" t="str" cm="1">
        <f t="array" aca="1" ref="F702" ca="1">IF(INDIRECT("'Student_Record 1'!O" &amp; ROW())="", "", INDIRECT("'Student_Record 1'!O" &amp; ROW()))</f>
        <v/>
      </c>
      <c r="G702" s="11"/>
      <c r="I702" s="11"/>
      <c r="J702" s="11"/>
      <c r="K702" s="11"/>
      <c r="L702" s="11"/>
      <c r="M702" s="11"/>
      <c r="N702" s="11"/>
      <c r="O702" s="11"/>
      <c r="P702" s="11"/>
      <c r="Q702" s="11"/>
    </row>
    <row r="703" spans="1:17" x14ac:dyDescent="0.25">
      <c r="A703" s="8" t="str" cm="1">
        <f t="array" aca="1" ref="A703" ca="1">IF(INDIRECT("'Student_Record 1'!A" &amp; ROW())="", "", INDIRECT("'Student_Record 1'!A" &amp; ROW()))</f>
        <v/>
      </c>
      <c r="B703" s="8" t="str" cm="1">
        <f t="array" aca="1" ref="B703" ca="1">IF(INDIRECT("'Student_Record 1'!C" &amp; ROW())="", "", INDIRECT("'Student_Record 1'!C" &amp; ROW()))</f>
        <v/>
      </c>
      <c r="C703" s="8" t="str" cm="1">
        <f t="array" aca="1" ref="C703" ca="1">IF(INDIRECT("'Student_Record 1'!E" &amp; ROW())="", "", INDIRECT("'Student_Record 1'!E" &amp; ROW()))</f>
        <v/>
      </c>
      <c r="D703" s="8" t="str" cm="1">
        <f t="array" aca="1" ref="D703" ca="1">IF(INDIRECT("'Student_Record 1'!G" &amp; ROW())="", "", INDIRECT("'Student_Record 1'!G" &amp; ROW()))</f>
        <v/>
      </c>
      <c r="E703" s="8" t="str" cm="1">
        <f t="array" aca="1" ref="E703" ca="1">IF(INDIRECT("'Student_Record 1'!I" &amp; ROW())="", "", INDIRECT("'Student_Record 1'!I" &amp; ROW()))</f>
        <v/>
      </c>
      <c r="F703" s="8" t="str" cm="1">
        <f t="array" aca="1" ref="F703" ca="1">IF(INDIRECT("'Student_Record 1'!O" &amp; ROW())="", "", INDIRECT("'Student_Record 1'!O" &amp; ROW()))</f>
        <v/>
      </c>
      <c r="G703" s="11"/>
      <c r="I703" s="11"/>
      <c r="J703" s="11"/>
      <c r="K703" s="11"/>
      <c r="L703" s="11"/>
      <c r="M703" s="11"/>
      <c r="N703" s="11"/>
      <c r="O703" s="11"/>
      <c r="P703" s="11"/>
      <c r="Q703" s="11"/>
    </row>
    <row r="704" spans="1:17" x14ac:dyDescent="0.25">
      <c r="A704" s="8" t="str" cm="1">
        <f t="array" aca="1" ref="A704" ca="1">IF(INDIRECT("'Student_Record 1'!A" &amp; ROW())="", "", INDIRECT("'Student_Record 1'!A" &amp; ROW()))</f>
        <v/>
      </c>
      <c r="B704" s="8" t="str" cm="1">
        <f t="array" aca="1" ref="B704" ca="1">IF(INDIRECT("'Student_Record 1'!C" &amp; ROW())="", "", INDIRECT("'Student_Record 1'!C" &amp; ROW()))</f>
        <v/>
      </c>
      <c r="C704" s="8" t="str" cm="1">
        <f t="array" aca="1" ref="C704" ca="1">IF(INDIRECT("'Student_Record 1'!E" &amp; ROW())="", "", INDIRECT("'Student_Record 1'!E" &amp; ROW()))</f>
        <v/>
      </c>
      <c r="D704" s="8" t="str" cm="1">
        <f t="array" aca="1" ref="D704" ca="1">IF(INDIRECT("'Student_Record 1'!G" &amp; ROW())="", "", INDIRECT("'Student_Record 1'!G" &amp; ROW()))</f>
        <v/>
      </c>
      <c r="E704" s="8" t="str" cm="1">
        <f t="array" aca="1" ref="E704" ca="1">IF(INDIRECT("'Student_Record 1'!I" &amp; ROW())="", "", INDIRECT("'Student_Record 1'!I" &amp; ROW()))</f>
        <v/>
      </c>
      <c r="F704" s="8" t="str" cm="1">
        <f t="array" aca="1" ref="F704" ca="1">IF(INDIRECT("'Student_Record 1'!O" &amp; ROW())="", "", INDIRECT("'Student_Record 1'!O" &amp; ROW()))</f>
        <v/>
      </c>
      <c r="G704" s="11"/>
      <c r="I704" s="11"/>
      <c r="J704" s="11"/>
      <c r="K704" s="11"/>
      <c r="L704" s="11"/>
      <c r="M704" s="11"/>
      <c r="N704" s="11"/>
      <c r="O704" s="11"/>
      <c r="P704" s="11"/>
      <c r="Q704" s="11"/>
    </row>
    <row r="705" spans="1:17" x14ac:dyDescent="0.25">
      <c r="A705" s="8" t="str" cm="1">
        <f t="array" aca="1" ref="A705" ca="1">IF(INDIRECT("'Student_Record 1'!A" &amp; ROW())="", "", INDIRECT("'Student_Record 1'!A" &amp; ROW()))</f>
        <v/>
      </c>
      <c r="B705" s="8" t="str" cm="1">
        <f t="array" aca="1" ref="B705" ca="1">IF(INDIRECT("'Student_Record 1'!C" &amp; ROW())="", "", INDIRECT("'Student_Record 1'!C" &amp; ROW()))</f>
        <v/>
      </c>
      <c r="C705" s="8" t="str" cm="1">
        <f t="array" aca="1" ref="C705" ca="1">IF(INDIRECT("'Student_Record 1'!E" &amp; ROW())="", "", INDIRECT("'Student_Record 1'!E" &amp; ROW()))</f>
        <v/>
      </c>
      <c r="D705" s="8" t="str" cm="1">
        <f t="array" aca="1" ref="D705" ca="1">IF(INDIRECT("'Student_Record 1'!G" &amp; ROW())="", "", INDIRECT("'Student_Record 1'!G" &amp; ROW()))</f>
        <v/>
      </c>
      <c r="E705" s="8" t="str" cm="1">
        <f t="array" aca="1" ref="E705" ca="1">IF(INDIRECT("'Student_Record 1'!I" &amp; ROW())="", "", INDIRECT("'Student_Record 1'!I" &amp; ROW()))</f>
        <v/>
      </c>
      <c r="F705" s="8" t="str" cm="1">
        <f t="array" aca="1" ref="F705" ca="1">IF(INDIRECT("'Student_Record 1'!O" &amp; ROW())="", "", INDIRECT("'Student_Record 1'!O" &amp; ROW()))</f>
        <v/>
      </c>
      <c r="G705" s="11"/>
      <c r="I705" s="11"/>
      <c r="J705" s="11"/>
      <c r="K705" s="11"/>
      <c r="L705" s="11"/>
      <c r="M705" s="11"/>
      <c r="N705" s="11"/>
      <c r="O705" s="11"/>
      <c r="P705" s="11"/>
      <c r="Q705" s="11"/>
    </row>
    <row r="706" spans="1:17" x14ac:dyDescent="0.25">
      <c r="A706" s="8" t="str" cm="1">
        <f t="array" aca="1" ref="A706" ca="1">IF(INDIRECT("'Student_Record 1'!A" &amp; ROW())="", "", INDIRECT("'Student_Record 1'!A" &amp; ROW()))</f>
        <v/>
      </c>
      <c r="B706" s="8" t="str" cm="1">
        <f t="array" aca="1" ref="B706" ca="1">IF(INDIRECT("'Student_Record 1'!C" &amp; ROW())="", "", INDIRECT("'Student_Record 1'!C" &amp; ROW()))</f>
        <v/>
      </c>
      <c r="C706" s="8" t="str" cm="1">
        <f t="array" aca="1" ref="C706" ca="1">IF(INDIRECT("'Student_Record 1'!E" &amp; ROW())="", "", INDIRECT("'Student_Record 1'!E" &amp; ROW()))</f>
        <v/>
      </c>
      <c r="D706" s="8" t="str" cm="1">
        <f t="array" aca="1" ref="D706" ca="1">IF(INDIRECT("'Student_Record 1'!G" &amp; ROW())="", "", INDIRECT("'Student_Record 1'!G" &amp; ROW()))</f>
        <v/>
      </c>
      <c r="E706" s="8" t="str" cm="1">
        <f t="array" aca="1" ref="E706" ca="1">IF(INDIRECT("'Student_Record 1'!I" &amp; ROW())="", "", INDIRECT("'Student_Record 1'!I" &amp; ROW()))</f>
        <v/>
      </c>
      <c r="F706" s="8" t="str" cm="1">
        <f t="array" aca="1" ref="F706" ca="1">IF(INDIRECT("'Student_Record 1'!O" &amp; ROW())="", "", INDIRECT("'Student_Record 1'!O" &amp; ROW()))</f>
        <v/>
      </c>
      <c r="G706" s="11"/>
      <c r="I706" s="11"/>
      <c r="J706" s="11"/>
      <c r="K706" s="11"/>
      <c r="L706" s="11"/>
      <c r="M706" s="11"/>
      <c r="N706" s="11"/>
      <c r="O706" s="11"/>
      <c r="P706" s="11"/>
      <c r="Q706" s="11"/>
    </row>
    <row r="707" spans="1:17" x14ac:dyDescent="0.25">
      <c r="A707" s="8" t="str" cm="1">
        <f t="array" aca="1" ref="A707" ca="1">IF(INDIRECT("'Student_Record 1'!A" &amp; ROW())="", "", INDIRECT("'Student_Record 1'!A" &amp; ROW()))</f>
        <v/>
      </c>
      <c r="B707" s="8" t="str" cm="1">
        <f t="array" aca="1" ref="B707" ca="1">IF(INDIRECT("'Student_Record 1'!C" &amp; ROW())="", "", INDIRECT("'Student_Record 1'!C" &amp; ROW()))</f>
        <v/>
      </c>
      <c r="C707" s="8" t="str" cm="1">
        <f t="array" aca="1" ref="C707" ca="1">IF(INDIRECT("'Student_Record 1'!E" &amp; ROW())="", "", INDIRECT("'Student_Record 1'!E" &amp; ROW()))</f>
        <v/>
      </c>
      <c r="D707" s="8" t="str" cm="1">
        <f t="array" aca="1" ref="D707" ca="1">IF(INDIRECT("'Student_Record 1'!G" &amp; ROW())="", "", INDIRECT("'Student_Record 1'!G" &amp; ROW()))</f>
        <v/>
      </c>
      <c r="E707" s="8" t="str" cm="1">
        <f t="array" aca="1" ref="E707" ca="1">IF(INDIRECT("'Student_Record 1'!I" &amp; ROW())="", "", INDIRECT("'Student_Record 1'!I" &amp; ROW()))</f>
        <v/>
      </c>
      <c r="F707" s="8" t="str" cm="1">
        <f t="array" aca="1" ref="F707" ca="1">IF(INDIRECT("'Student_Record 1'!O" &amp; ROW())="", "", INDIRECT("'Student_Record 1'!O" &amp; ROW()))</f>
        <v/>
      </c>
      <c r="G707" s="11"/>
      <c r="I707" s="11"/>
      <c r="J707" s="11"/>
      <c r="K707" s="11"/>
      <c r="L707" s="11"/>
      <c r="M707" s="11"/>
      <c r="N707" s="11"/>
      <c r="O707" s="11"/>
      <c r="P707" s="11"/>
      <c r="Q707" s="11"/>
    </row>
    <row r="708" spans="1:17" x14ac:dyDescent="0.25">
      <c r="A708" s="8" t="str" cm="1">
        <f t="array" aca="1" ref="A708" ca="1">IF(INDIRECT("'Student_Record 1'!A" &amp; ROW())="", "", INDIRECT("'Student_Record 1'!A" &amp; ROW()))</f>
        <v/>
      </c>
      <c r="B708" s="8" t="str" cm="1">
        <f t="array" aca="1" ref="B708" ca="1">IF(INDIRECT("'Student_Record 1'!C" &amp; ROW())="", "", INDIRECT("'Student_Record 1'!C" &amp; ROW()))</f>
        <v/>
      </c>
      <c r="C708" s="8" t="str" cm="1">
        <f t="array" aca="1" ref="C708" ca="1">IF(INDIRECT("'Student_Record 1'!E" &amp; ROW())="", "", INDIRECT("'Student_Record 1'!E" &amp; ROW()))</f>
        <v/>
      </c>
      <c r="D708" s="8" t="str" cm="1">
        <f t="array" aca="1" ref="D708" ca="1">IF(INDIRECT("'Student_Record 1'!G" &amp; ROW())="", "", INDIRECT("'Student_Record 1'!G" &amp; ROW()))</f>
        <v/>
      </c>
      <c r="E708" s="8" t="str" cm="1">
        <f t="array" aca="1" ref="E708" ca="1">IF(INDIRECT("'Student_Record 1'!I" &amp; ROW())="", "", INDIRECT("'Student_Record 1'!I" &amp; ROW()))</f>
        <v/>
      </c>
      <c r="F708" s="8" t="str" cm="1">
        <f t="array" aca="1" ref="F708" ca="1">IF(INDIRECT("'Student_Record 1'!O" &amp; ROW())="", "", INDIRECT("'Student_Record 1'!O" &amp; ROW()))</f>
        <v/>
      </c>
      <c r="G708" s="11"/>
      <c r="I708" s="11"/>
      <c r="J708" s="11"/>
      <c r="K708" s="11"/>
      <c r="L708" s="11"/>
      <c r="M708" s="11"/>
      <c r="N708" s="11"/>
      <c r="O708" s="11"/>
      <c r="P708" s="11"/>
      <c r="Q708" s="11"/>
    </row>
    <row r="709" spans="1:17" x14ac:dyDescent="0.25">
      <c r="A709" s="8" t="str" cm="1">
        <f t="array" aca="1" ref="A709" ca="1">IF(INDIRECT("'Student_Record 1'!A" &amp; ROW())="", "", INDIRECT("'Student_Record 1'!A" &amp; ROW()))</f>
        <v/>
      </c>
      <c r="B709" s="8" t="str" cm="1">
        <f t="array" aca="1" ref="B709" ca="1">IF(INDIRECT("'Student_Record 1'!C" &amp; ROW())="", "", INDIRECT("'Student_Record 1'!C" &amp; ROW()))</f>
        <v/>
      </c>
      <c r="C709" s="8" t="str" cm="1">
        <f t="array" aca="1" ref="C709" ca="1">IF(INDIRECT("'Student_Record 1'!E" &amp; ROW())="", "", INDIRECT("'Student_Record 1'!E" &amp; ROW()))</f>
        <v/>
      </c>
      <c r="D709" s="8" t="str" cm="1">
        <f t="array" aca="1" ref="D709" ca="1">IF(INDIRECT("'Student_Record 1'!G" &amp; ROW())="", "", INDIRECT("'Student_Record 1'!G" &amp; ROW()))</f>
        <v/>
      </c>
      <c r="E709" s="8" t="str" cm="1">
        <f t="array" aca="1" ref="E709" ca="1">IF(INDIRECT("'Student_Record 1'!I" &amp; ROW())="", "", INDIRECT("'Student_Record 1'!I" &amp; ROW()))</f>
        <v/>
      </c>
      <c r="F709" s="8" t="str" cm="1">
        <f t="array" aca="1" ref="F709" ca="1">IF(INDIRECT("'Student_Record 1'!O" &amp; ROW())="", "", INDIRECT("'Student_Record 1'!O" &amp; ROW()))</f>
        <v/>
      </c>
      <c r="G709" s="11"/>
      <c r="I709" s="11"/>
      <c r="J709" s="11"/>
      <c r="K709" s="11"/>
      <c r="L709" s="11"/>
      <c r="M709" s="11"/>
      <c r="N709" s="11"/>
      <c r="O709" s="11"/>
      <c r="P709" s="11"/>
      <c r="Q709" s="11"/>
    </row>
    <row r="710" spans="1:17" x14ac:dyDescent="0.25">
      <c r="A710" s="8" t="str" cm="1">
        <f t="array" aca="1" ref="A710" ca="1">IF(INDIRECT("'Student_Record 1'!A" &amp; ROW())="", "", INDIRECT("'Student_Record 1'!A" &amp; ROW()))</f>
        <v/>
      </c>
      <c r="B710" s="8" t="str" cm="1">
        <f t="array" aca="1" ref="B710" ca="1">IF(INDIRECT("'Student_Record 1'!C" &amp; ROW())="", "", INDIRECT("'Student_Record 1'!C" &amp; ROW()))</f>
        <v/>
      </c>
      <c r="C710" s="8" t="str" cm="1">
        <f t="array" aca="1" ref="C710" ca="1">IF(INDIRECT("'Student_Record 1'!E" &amp; ROW())="", "", INDIRECT("'Student_Record 1'!E" &amp; ROW()))</f>
        <v/>
      </c>
      <c r="D710" s="8" t="str" cm="1">
        <f t="array" aca="1" ref="D710" ca="1">IF(INDIRECT("'Student_Record 1'!G" &amp; ROW())="", "", INDIRECT("'Student_Record 1'!G" &amp; ROW()))</f>
        <v/>
      </c>
      <c r="E710" s="8" t="str" cm="1">
        <f t="array" aca="1" ref="E710" ca="1">IF(INDIRECT("'Student_Record 1'!I" &amp; ROW())="", "", INDIRECT("'Student_Record 1'!I" &amp; ROW()))</f>
        <v/>
      </c>
      <c r="F710" s="8" t="str" cm="1">
        <f t="array" aca="1" ref="F710" ca="1">IF(INDIRECT("'Student_Record 1'!O" &amp; ROW())="", "", INDIRECT("'Student_Record 1'!O" &amp; ROW()))</f>
        <v/>
      </c>
      <c r="G710" s="11"/>
      <c r="I710" s="11"/>
      <c r="J710" s="11"/>
      <c r="K710" s="11"/>
      <c r="L710" s="11"/>
      <c r="M710" s="11"/>
      <c r="N710" s="11"/>
      <c r="O710" s="11"/>
      <c r="P710" s="11"/>
      <c r="Q710" s="11"/>
    </row>
    <row r="711" spans="1:17" x14ac:dyDescent="0.25">
      <c r="A711" s="8" t="str" cm="1">
        <f t="array" aca="1" ref="A711" ca="1">IF(INDIRECT("'Student_Record 1'!A" &amp; ROW())="", "", INDIRECT("'Student_Record 1'!A" &amp; ROW()))</f>
        <v/>
      </c>
      <c r="B711" s="8" t="str" cm="1">
        <f t="array" aca="1" ref="B711" ca="1">IF(INDIRECT("'Student_Record 1'!C" &amp; ROW())="", "", INDIRECT("'Student_Record 1'!C" &amp; ROW()))</f>
        <v/>
      </c>
      <c r="C711" s="8" t="str" cm="1">
        <f t="array" aca="1" ref="C711" ca="1">IF(INDIRECT("'Student_Record 1'!E" &amp; ROW())="", "", INDIRECT("'Student_Record 1'!E" &amp; ROW()))</f>
        <v/>
      </c>
      <c r="D711" s="8" t="str" cm="1">
        <f t="array" aca="1" ref="D711" ca="1">IF(INDIRECT("'Student_Record 1'!G" &amp; ROW())="", "", INDIRECT("'Student_Record 1'!G" &amp; ROW()))</f>
        <v/>
      </c>
      <c r="E711" s="8" t="str" cm="1">
        <f t="array" aca="1" ref="E711" ca="1">IF(INDIRECT("'Student_Record 1'!I" &amp; ROW())="", "", INDIRECT("'Student_Record 1'!I" &amp; ROW()))</f>
        <v/>
      </c>
      <c r="F711" s="8" t="str" cm="1">
        <f t="array" aca="1" ref="F711" ca="1">IF(INDIRECT("'Student_Record 1'!O" &amp; ROW())="", "", INDIRECT("'Student_Record 1'!O" &amp; ROW()))</f>
        <v/>
      </c>
      <c r="G711" s="11"/>
      <c r="I711" s="11"/>
      <c r="J711" s="11"/>
      <c r="K711" s="11"/>
      <c r="L711" s="11"/>
      <c r="M711" s="11"/>
      <c r="N711" s="11"/>
      <c r="O711" s="11"/>
      <c r="P711" s="11"/>
      <c r="Q711" s="11"/>
    </row>
    <row r="712" spans="1:17" x14ac:dyDescent="0.25">
      <c r="A712" s="8" t="str" cm="1">
        <f t="array" aca="1" ref="A712" ca="1">IF(INDIRECT("'Student_Record 1'!A" &amp; ROW())="", "", INDIRECT("'Student_Record 1'!A" &amp; ROW()))</f>
        <v/>
      </c>
      <c r="B712" s="8" t="str" cm="1">
        <f t="array" aca="1" ref="B712" ca="1">IF(INDIRECT("'Student_Record 1'!C" &amp; ROW())="", "", INDIRECT("'Student_Record 1'!C" &amp; ROW()))</f>
        <v/>
      </c>
      <c r="C712" s="8" t="str" cm="1">
        <f t="array" aca="1" ref="C712" ca="1">IF(INDIRECT("'Student_Record 1'!E" &amp; ROW())="", "", INDIRECT("'Student_Record 1'!E" &amp; ROW()))</f>
        <v/>
      </c>
      <c r="D712" s="8" t="str" cm="1">
        <f t="array" aca="1" ref="D712" ca="1">IF(INDIRECT("'Student_Record 1'!G" &amp; ROW())="", "", INDIRECT("'Student_Record 1'!G" &amp; ROW()))</f>
        <v/>
      </c>
      <c r="E712" s="8" t="str" cm="1">
        <f t="array" aca="1" ref="E712" ca="1">IF(INDIRECT("'Student_Record 1'!I" &amp; ROW())="", "", INDIRECT("'Student_Record 1'!I" &amp; ROW()))</f>
        <v/>
      </c>
      <c r="F712" s="8" t="str" cm="1">
        <f t="array" aca="1" ref="F712" ca="1">IF(INDIRECT("'Student_Record 1'!O" &amp; ROW())="", "", INDIRECT("'Student_Record 1'!O" &amp; ROW()))</f>
        <v/>
      </c>
      <c r="G712" s="11"/>
      <c r="I712" s="11"/>
      <c r="J712" s="11"/>
      <c r="K712" s="11"/>
      <c r="L712" s="11"/>
      <c r="M712" s="11"/>
      <c r="N712" s="11"/>
      <c r="O712" s="11"/>
      <c r="P712" s="11"/>
      <c r="Q712" s="11"/>
    </row>
    <row r="713" spans="1:17" x14ac:dyDescent="0.25">
      <c r="A713" s="8" t="str" cm="1">
        <f t="array" aca="1" ref="A713" ca="1">IF(INDIRECT("'Student_Record 1'!A" &amp; ROW())="", "", INDIRECT("'Student_Record 1'!A" &amp; ROW()))</f>
        <v/>
      </c>
      <c r="B713" s="8" t="str" cm="1">
        <f t="array" aca="1" ref="B713" ca="1">IF(INDIRECT("'Student_Record 1'!C" &amp; ROW())="", "", INDIRECT("'Student_Record 1'!C" &amp; ROW()))</f>
        <v/>
      </c>
      <c r="C713" s="8" t="str" cm="1">
        <f t="array" aca="1" ref="C713" ca="1">IF(INDIRECT("'Student_Record 1'!E" &amp; ROW())="", "", INDIRECT("'Student_Record 1'!E" &amp; ROW()))</f>
        <v/>
      </c>
      <c r="D713" s="8" t="str" cm="1">
        <f t="array" aca="1" ref="D713" ca="1">IF(INDIRECT("'Student_Record 1'!G" &amp; ROW())="", "", INDIRECT("'Student_Record 1'!G" &amp; ROW()))</f>
        <v/>
      </c>
      <c r="E713" s="8" t="str" cm="1">
        <f t="array" aca="1" ref="E713" ca="1">IF(INDIRECT("'Student_Record 1'!I" &amp; ROW())="", "", INDIRECT("'Student_Record 1'!I" &amp; ROW()))</f>
        <v/>
      </c>
      <c r="F713" s="8" t="str" cm="1">
        <f t="array" aca="1" ref="F713" ca="1">IF(INDIRECT("'Student_Record 1'!O" &amp; ROW())="", "", INDIRECT("'Student_Record 1'!O" &amp; ROW()))</f>
        <v/>
      </c>
      <c r="G713" s="11"/>
      <c r="I713" s="11"/>
      <c r="J713" s="11"/>
      <c r="K713" s="11"/>
      <c r="L713" s="11"/>
      <c r="M713" s="11"/>
      <c r="N713" s="11"/>
      <c r="O713" s="11"/>
      <c r="P713" s="11"/>
      <c r="Q713" s="11"/>
    </row>
    <row r="714" spans="1:17" x14ac:dyDescent="0.25">
      <c r="A714" s="8" t="str" cm="1">
        <f t="array" aca="1" ref="A714" ca="1">IF(INDIRECT("'Student_Record 1'!A" &amp; ROW())="", "", INDIRECT("'Student_Record 1'!A" &amp; ROW()))</f>
        <v/>
      </c>
      <c r="B714" s="8" t="str" cm="1">
        <f t="array" aca="1" ref="B714" ca="1">IF(INDIRECT("'Student_Record 1'!C" &amp; ROW())="", "", INDIRECT("'Student_Record 1'!C" &amp; ROW()))</f>
        <v/>
      </c>
      <c r="C714" s="8" t="str" cm="1">
        <f t="array" aca="1" ref="C714" ca="1">IF(INDIRECT("'Student_Record 1'!E" &amp; ROW())="", "", INDIRECT("'Student_Record 1'!E" &amp; ROW()))</f>
        <v/>
      </c>
      <c r="D714" s="8" t="str" cm="1">
        <f t="array" aca="1" ref="D714" ca="1">IF(INDIRECT("'Student_Record 1'!G" &amp; ROW())="", "", INDIRECT("'Student_Record 1'!G" &amp; ROW()))</f>
        <v/>
      </c>
      <c r="E714" s="8" t="str" cm="1">
        <f t="array" aca="1" ref="E714" ca="1">IF(INDIRECT("'Student_Record 1'!I" &amp; ROW())="", "", INDIRECT("'Student_Record 1'!I" &amp; ROW()))</f>
        <v/>
      </c>
      <c r="F714" s="8" t="str" cm="1">
        <f t="array" aca="1" ref="F714" ca="1">IF(INDIRECT("'Student_Record 1'!O" &amp; ROW())="", "", INDIRECT("'Student_Record 1'!O" &amp; ROW()))</f>
        <v/>
      </c>
      <c r="G714" s="11"/>
      <c r="I714" s="11"/>
      <c r="J714" s="11"/>
      <c r="K714" s="11"/>
      <c r="L714" s="11"/>
      <c r="M714" s="11"/>
      <c r="N714" s="11"/>
      <c r="O714" s="11"/>
      <c r="P714" s="11"/>
      <c r="Q714" s="11"/>
    </row>
    <row r="715" spans="1:17" x14ac:dyDescent="0.25">
      <c r="A715" s="8" t="str" cm="1">
        <f t="array" aca="1" ref="A715" ca="1">IF(INDIRECT("'Student_Record 1'!A" &amp; ROW())="", "", INDIRECT("'Student_Record 1'!A" &amp; ROW()))</f>
        <v/>
      </c>
      <c r="B715" s="8" t="str" cm="1">
        <f t="array" aca="1" ref="B715" ca="1">IF(INDIRECT("'Student_Record 1'!C" &amp; ROW())="", "", INDIRECT("'Student_Record 1'!C" &amp; ROW()))</f>
        <v/>
      </c>
      <c r="C715" s="8" t="str" cm="1">
        <f t="array" aca="1" ref="C715" ca="1">IF(INDIRECT("'Student_Record 1'!E" &amp; ROW())="", "", INDIRECT("'Student_Record 1'!E" &amp; ROW()))</f>
        <v/>
      </c>
      <c r="D715" s="8" t="str" cm="1">
        <f t="array" aca="1" ref="D715" ca="1">IF(INDIRECT("'Student_Record 1'!G" &amp; ROW())="", "", INDIRECT("'Student_Record 1'!G" &amp; ROW()))</f>
        <v/>
      </c>
      <c r="E715" s="8" t="str" cm="1">
        <f t="array" aca="1" ref="E715" ca="1">IF(INDIRECT("'Student_Record 1'!I" &amp; ROW())="", "", INDIRECT("'Student_Record 1'!I" &amp; ROW()))</f>
        <v/>
      </c>
      <c r="F715" s="8" t="str" cm="1">
        <f t="array" aca="1" ref="F715" ca="1">IF(INDIRECT("'Student_Record 1'!O" &amp; ROW())="", "", INDIRECT("'Student_Record 1'!O" &amp; ROW()))</f>
        <v/>
      </c>
      <c r="G715" s="11"/>
      <c r="I715" s="11"/>
      <c r="J715" s="11"/>
      <c r="K715" s="11"/>
      <c r="L715" s="11"/>
      <c r="M715" s="11"/>
      <c r="N715" s="11"/>
      <c r="O715" s="11"/>
      <c r="P715" s="11"/>
      <c r="Q715" s="11"/>
    </row>
    <row r="716" spans="1:17" x14ac:dyDescent="0.25">
      <c r="A716" s="8" t="str" cm="1">
        <f t="array" aca="1" ref="A716" ca="1">IF(INDIRECT("'Student_Record 1'!A" &amp; ROW())="", "", INDIRECT("'Student_Record 1'!A" &amp; ROW()))</f>
        <v/>
      </c>
      <c r="B716" s="8" t="str" cm="1">
        <f t="array" aca="1" ref="B716" ca="1">IF(INDIRECT("'Student_Record 1'!C" &amp; ROW())="", "", INDIRECT("'Student_Record 1'!C" &amp; ROW()))</f>
        <v/>
      </c>
      <c r="C716" s="8" t="str" cm="1">
        <f t="array" aca="1" ref="C716" ca="1">IF(INDIRECT("'Student_Record 1'!E" &amp; ROW())="", "", INDIRECT("'Student_Record 1'!E" &amp; ROW()))</f>
        <v/>
      </c>
      <c r="D716" s="8" t="str" cm="1">
        <f t="array" aca="1" ref="D716" ca="1">IF(INDIRECT("'Student_Record 1'!G" &amp; ROW())="", "", INDIRECT("'Student_Record 1'!G" &amp; ROW()))</f>
        <v/>
      </c>
      <c r="E716" s="8" t="str" cm="1">
        <f t="array" aca="1" ref="E716" ca="1">IF(INDIRECT("'Student_Record 1'!I" &amp; ROW())="", "", INDIRECT("'Student_Record 1'!I" &amp; ROW()))</f>
        <v/>
      </c>
      <c r="F716" s="8" t="str" cm="1">
        <f t="array" aca="1" ref="F716" ca="1">IF(INDIRECT("'Student_Record 1'!O" &amp; ROW())="", "", INDIRECT("'Student_Record 1'!O" &amp; ROW()))</f>
        <v/>
      </c>
      <c r="G716" s="11"/>
      <c r="I716" s="11"/>
      <c r="J716" s="11"/>
      <c r="K716" s="11"/>
      <c r="L716" s="11"/>
      <c r="M716" s="11"/>
      <c r="N716" s="11"/>
      <c r="O716" s="11"/>
      <c r="P716" s="11"/>
      <c r="Q716" s="11"/>
    </row>
    <row r="717" spans="1:17" x14ac:dyDescent="0.25">
      <c r="A717" s="8" t="str" cm="1">
        <f t="array" aca="1" ref="A717" ca="1">IF(INDIRECT("'Student_Record 1'!A" &amp; ROW())="", "", INDIRECT("'Student_Record 1'!A" &amp; ROW()))</f>
        <v/>
      </c>
      <c r="B717" s="8" t="str" cm="1">
        <f t="array" aca="1" ref="B717" ca="1">IF(INDIRECT("'Student_Record 1'!C" &amp; ROW())="", "", INDIRECT("'Student_Record 1'!C" &amp; ROW()))</f>
        <v/>
      </c>
      <c r="C717" s="8" t="str" cm="1">
        <f t="array" aca="1" ref="C717" ca="1">IF(INDIRECT("'Student_Record 1'!E" &amp; ROW())="", "", INDIRECT("'Student_Record 1'!E" &amp; ROW()))</f>
        <v/>
      </c>
      <c r="D717" s="8" t="str" cm="1">
        <f t="array" aca="1" ref="D717" ca="1">IF(INDIRECT("'Student_Record 1'!G" &amp; ROW())="", "", INDIRECT("'Student_Record 1'!G" &amp; ROW()))</f>
        <v/>
      </c>
      <c r="E717" s="8" t="str" cm="1">
        <f t="array" aca="1" ref="E717" ca="1">IF(INDIRECT("'Student_Record 1'!I" &amp; ROW())="", "", INDIRECT("'Student_Record 1'!I" &amp; ROW()))</f>
        <v/>
      </c>
      <c r="F717" s="8" t="str" cm="1">
        <f t="array" aca="1" ref="F717" ca="1">IF(INDIRECT("'Student_Record 1'!O" &amp; ROW())="", "", INDIRECT("'Student_Record 1'!O" &amp; ROW()))</f>
        <v/>
      </c>
      <c r="G717" s="11"/>
      <c r="I717" s="11"/>
      <c r="J717" s="11"/>
      <c r="K717" s="11"/>
      <c r="L717" s="11"/>
      <c r="M717" s="11"/>
      <c r="N717" s="11"/>
      <c r="O717" s="11"/>
      <c r="P717" s="11"/>
      <c r="Q717" s="11"/>
    </row>
    <row r="718" spans="1:17" x14ac:dyDescent="0.25">
      <c r="A718" s="8" t="str" cm="1">
        <f t="array" aca="1" ref="A718" ca="1">IF(INDIRECT("'Student_Record 1'!A" &amp; ROW())="", "", INDIRECT("'Student_Record 1'!A" &amp; ROW()))</f>
        <v/>
      </c>
      <c r="B718" s="8" t="str" cm="1">
        <f t="array" aca="1" ref="B718" ca="1">IF(INDIRECT("'Student_Record 1'!C" &amp; ROW())="", "", INDIRECT("'Student_Record 1'!C" &amp; ROW()))</f>
        <v/>
      </c>
      <c r="C718" s="8" t="str" cm="1">
        <f t="array" aca="1" ref="C718" ca="1">IF(INDIRECT("'Student_Record 1'!E" &amp; ROW())="", "", INDIRECT("'Student_Record 1'!E" &amp; ROW()))</f>
        <v/>
      </c>
      <c r="D718" s="8" t="str" cm="1">
        <f t="array" aca="1" ref="D718" ca="1">IF(INDIRECT("'Student_Record 1'!G" &amp; ROW())="", "", INDIRECT("'Student_Record 1'!G" &amp; ROW()))</f>
        <v/>
      </c>
      <c r="E718" s="8" t="str" cm="1">
        <f t="array" aca="1" ref="E718" ca="1">IF(INDIRECT("'Student_Record 1'!I" &amp; ROW())="", "", INDIRECT("'Student_Record 1'!I" &amp; ROW()))</f>
        <v/>
      </c>
      <c r="F718" s="8" t="str" cm="1">
        <f t="array" aca="1" ref="F718" ca="1">IF(INDIRECT("'Student_Record 1'!O" &amp; ROW())="", "", INDIRECT("'Student_Record 1'!O" &amp; ROW()))</f>
        <v/>
      </c>
      <c r="G718" s="11"/>
      <c r="I718" s="11"/>
      <c r="J718" s="11"/>
      <c r="K718" s="11"/>
      <c r="L718" s="11"/>
      <c r="M718" s="11"/>
      <c r="N718" s="11"/>
      <c r="O718" s="11"/>
      <c r="P718" s="11"/>
      <c r="Q718" s="11"/>
    </row>
    <row r="719" spans="1:17" x14ac:dyDescent="0.25">
      <c r="A719" s="8" t="str" cm="1">
        <f t="array" aca="1" ref="A719" ca="1">IF(INDIRECT("'Student_Record 1'!A" &amp; ROW())="", "", INDIRECT("'Student_Record 1'!A" &amp; ROW()))</f>
        <v/>
      </c>
      <c r="B719" s="8" t="str" cm="1">
        <f t="array" aca="1" ref="B719" ca="1">IF(INDIRECT("'Student_Record 1'!C" &amp; ROW())="", "", INDIRECT("'Student_Record 1'!C" &amp; ROW()))</f>
        <v/>
      </c>
      <c r="C719" s="8" t="str" cm="1">
        <f t="array" aca="1" ref="C719" ca="1">IF(INDIRECT("'Student_Record 1'!E" &amp; ROW())="", "", INDIRECT("'Student_Record 1'!E" &amp; ROW()))</f>
        <v/>
      </c>
      <c r="D719" s="8" t="str" cm="1">
        <f t="array" aca="1" ref="D719" ca="1">IF(INDIRECT("'Student_Record 1'!G" &amp; ROW())="", "", INDIRECT("'Student_Record 1'!G" &amp; ROW()))</f>
        <v/>
      </c>
      <c r="E719" s="8" t="str" cm="1">
        <f t="array" aca="1" ref="E719" ca="1">IF(INDIRECT("'Student_Record 1'!I" &amp; ROW())="", "", INDIRECT("'Student_Record 1'!I" &amp; ROW()))</f>
        <v/>
      </c>
      <c r="F719" s="8" t="str" cm="1">
        <f t="array" aca="1" ref="F719" ca="1">IF(INDIRECT("'Student_Record 1'!O" &amp; ROW())="", "", INDIRECT("'Student_Record 1'!O" &amp; ROW()))</f>
        <v/>
      </c>
      <c r="G719" s="11"/>
      <c r="I719" s="11"/>
      <c r="J719" s="11"/>
      <c r="K719" s="11"/>
      <c r="L719" s="11"/>
      <c r="M719" s="11"/>
      <c r="N719" s="11"/>
      <c r="O719" s="11"/>
      <c r="P719" s="11"/>
      <c r="Q719" s="11"/>
    </row>
    <row r="720" spans="1:17" x14ac:dyDescent="0.25">
      <c r="A720" s="8" t="str" cm="1">
        <f t="array" aca="1" ref="A720" ca="1">IF(INDIRECT("'Student_Record 1'!A" &amp; ROW())="", "", INDIRECT("'Student_Record 1'!A" &amp; ROW()))</f>
        <v/>
      </c>
      <c r="B720" s="8" t="str" cm="1">
        <f t="array" aca="1" ref="B720" ca="1">IF(INDIRECT("'Student_Record 1'!C" &amp; ROW())="", "", INDIRECT("'Student_Record 1'!C" &amp; ROW()))</f>
        <v/>
      </c>
      <c r="C720" s="8" t="str" cm="1">
        <f t="array" aca="1" ref="C720" ca="1">IF(INDIRECT("'Student_Record 1'!E" &amp; ROW())="", "", INDIRECT("'Student_Record 1'!E" &amp; ROW()))</f>
        <v/>
      </c>
      <c r="D720" s="8" t="str" cm="1">
        <f t="array" aca="1" ref="D720" ca="1">IF(INDIRECT("'Student_Record 1'!G" &amp; ROW())="", "", INDIRECT("'Student_Record 1'!G" &amp; ROW()))</f>
        <v/>
      </c>
      <c r="E720" s="8" t="str" cm="1">
        <f t="array" aca="1" ref="E720" ca="1">IF(INDIRECT("'Student_Record 1'!I" &amp; ROW())="", "", INDIRECT("'Student_Record 1'!I" &amp; ROW()))</f>
        <v/>
      </c>
      <c r="F720" s="8" t="str" cm="1">
        <f t="array" aca="1" ref="F720" ca="1">IF(INDIRECT("'Student_Record 1'!O" &amp; ROW())="", "", INDIRECT("'Student_Record 1'!O" &amp; ROW()))</f>
        <v/>
      </c>
      <c r="G720" s="11"/>
      <c r="I720" s="11"/>
      <c r="J720" s="11"/>
      <c r="K720" s="11"/>
      <c r="L720" s="11"/>
      <c r="M720" s="11"/>
      <c r="N720" s="11"/>
      <c r="O720" s="11"/>
      <c r="P720" s="11"/>
      <c r="Q720" s="11"/>
    </row>
    <row r="721" spans="1:17" x14ac:dyDescent="0.25">
      <c r="A721" s="8" t="str" cm="1">
        <f t="array" aca="1" ref="A721" ca="1">IF(INDIRECT("'Student_Record 1'!A" &amp; ROW())="", "", INDIRECT("'Student_Record 1'!A" &amp; ROW()))</f>
        <v/>
      </c>
      <c r="B721" s="8" t="str" cm="1">
        <f t="array" aca="1" ref="B721" ca="1">IF(INDIRECT("'Student_Record 1'!C" &amp; ROW())="", "", INDIRECT("'Student_Record 1'!C" &amp; ROW()))</f>
        <v/>
      </c>
      <c r="C721" s="8" t="str" cm="1">
        <f t="array" aca="1" ref="C721" ca="1">IF(INDIRECT("'Student_Record 1'!E" &amp; ROW())="", "", INDIRECT("'Student_Record 1'!E" &amp; ROW()))</f>
        <v/>
      </c>
      <c r="D721" s="8" t="str" cm="1">
        <f t="array" aca="1" ref="D721" ca="1">IF(INDIRECT("'Student_Record 1'!G" &amp; ROW())="", "", INDIRECT("'Student_Record 1'!G" &amp; ROW()))</f>
        <v/>
      </c>
      <c r="E721" s="8" t="str" cm="1">
        <f t="array" aca="1" ref="E721" ca="1">IF(INDIRECT("'Student_Record 1'!I" &amp; ROW())="", "", INDIRECT("'Student_Record 1'!I" &amp; ROW()))</f>
        <v/>
      </c>
      <c r="F721" s="8" t="str" cm="1">
        <f t="array" aca="1" ref="F721" ca="1">IF(INDIRECT("'Student_Record 1'!O" &amp; ROW())="", "", INDIRECT("'Student_Record 1'!O" &amp; ROW()))</f>
        <v/>
      </c>
      <c r="G721" s="11"/>
      <c r="I721" s="11"/>
      <c r="J721" s="11"/>
      <c r="K721" s="11"/>
      <c r="L721" s="11"/>
      <c r="M721" s="11"/>
      <c r="N721" s="11"/>
      <c r="O721" s="11"/>
      <c r="P721" s="11"/>
      <c r="Q721" s="11"/>
    </row>
    <row r="722" spans="1:17" x14ac:dyDescent="0.25">
      <c r="A722" s="8" t="str" cm="1">
        <f t="array" aca="1" ref="A722" ca="1">IF(INDIRECT("'Student_Record 1'!A" &amp; ROW())="", "", INDIRECT("'Student_Record 1'!A" &amp; ROW()))</f>
        <v/>
      </c>
      <c r="B722" s="8" t="str" cm="1">
        <f t="array" aca="1" ref="B722" ca="1">IF(INDIRECT("'Student_Record 1'!C" &amp; ROW())="", "", INDIRECT("'Student_Record 1'!C" &amp; ROW()))</f>
        <v/>
      </c>
      <c r="C722" s="8" t="str" cm="1">
        <f t="array" aca="1" ref="C722" ca="1">IF(INDIRECT("'Student_Record 1'!E" &amp; ROW())="", "", INDIRECT("'Student_Record 1'!E" &amp; ROW()))</f>
        <v/>
      </c>
      <c r="D722" s="8" t="str" cm="1">
        <f t="array" aca="1" ref="D722" ca="1">IF(INDIRECT("'Student_Record 1'!G" &amp; ROW())="", "", INDIRECT("'Student_Record 1'!G" &amp; ROW()))</f>
        <v/>
      </c>
      <c r="E722" s="8" t="str" cm="1">
        <f t="array" aca="1" ref="E722" ca="1">IF(INDIRECT("'Student_Record 1'!I" &amp; ROW())="", "", INDIRECT("'Student_Record 1'!I" &amp; ROW()))</f>
        <v/>
      </c>
      <c r="F722" s="8" t="str" cm="1">
        <f t="array" aca="1" ref="F722" ca="1">IF(INDIRECT("'Student_Record 1'!O" &amp; ROW())="", "", INDIRECT("'Student_Record 1'!O" &amp; ROW()))</f>
        <v/>
      </c>
      <c r="G722" s="11"/>
      <c r="I722" s="11"/>
      <c r="J722" s="11"/>
      <c r="K722" s="11"/>
      <c r="L722" s="11"/>
      <c r="M722" s="11"/>
      <c r="N722" s="11"/>
      <c r="O722" s="11"/>
      <c r="P722" s="11"/>
      <c r="Q722" s="11"/>
    </row>
    <row r="723" spans="1:17" x14ac:dyDescent="0.25">
      <c r="A723" s="8" t="str" cm="1">
        <f t="array" aca="1" ref="A723" ca="1">IF(INDIRECT("'Student_Record 1'!A" &amp; ROW())="", "", INDIRECT("'Student_Record 1'!A" &amp; ROW()))</f>
        <v/>
      </c>
      <c r="B723" s="8" t="str" cm="1">
        <f t="array" aca="1" ref="B723" ca="1">IF(INDIRECT("'Student_Record 1'!C" &amp; ROW())="", "", INDIRECT("'Student_Record 1'!C" &amp; ROW()))</f>
        <v/>
      </c>
      <c r="C723" s="8" t="str" cm="1">
        <f t="array" aca="1" ref="C723" ca="1">IF(INDIRECT("'Student_Record 1'!E" &amp; ROW())="", "", INDIRECT("'Student_Record 1'!E" &amp; ROW()))</f>
        <v/>
      </c>
      <c r="D723" s="8" t="str" cm="1">
        <f t="array" aca="1" ref="D723" ca="1">IF(INDIRECT("'Student_Record 1'!G" &amp; ROW())="", "", INDIRECT("'Student_Record 1'!G" &amp; ROW()))</f>
        <v/>
      </c>
      <c r="E723" s="8" t="str" cm="1">
        <f t="array" aca="1" ref="E723" ca="1">IF(INDIRECT("'Student_Record 1'!I" &amp; ROW())="", "", INDIRECT("'Student_Record 1'!I" &amp; ROW()))</f>
        <v/>
      </c>
      <c r="F723" s="8" t="str" cm="1">
        <f t="array" aca="1" ref="F723" ca="1">IF(INDIRECT("'Student_Record 1'!O" &amp; ROW())="", "", INDIRECT("'Student_Record 1'!O" &amp; ROW()))</f>
        <v/>
      </c>
      <c r="G723" s="11"/>
      <c r="I723" s="11"/>
      <c r="J723" s="11"/>
      <c r="K723" s="11"/>
      <c r="L723" s="11"/>
      <c r="M723" s="11"/>
      <c r="N723" s="11"/>
      <c r="O723" s="11"/>
      <c r="P723" s="11"/>
      <c r="Q723" s="11"/>
    </row>
    <row r="724" spans="1:17" x14ac:dyDescent="0.25">
      <c r="A724" s="8" t="str" cm="1">
        <f t="array" aca="1" ref="A724" ca="1">IF(INDIRECT("'Student_Record 1'!A" &amp; ROW())="", "", INDIRECT("'Student_Record 1'!A" &amp; ROW()))</f>
        <v/>
      </c>
      <c r="B724" s="8" t="str" cm="1">
        <f t="array" aca="1" ref="B724" ca="1">IF(INDIRECT("'Student_Record 1'!C" &amp; ROW())="", "", INDIRECT("'Student_Record 1'!C" &amp; ROW()))</f>
        <v/>
      </c>
      <c r="C724" s="8" t="str" cm="1">
        <f t="array" aca="1" ref="C724" ca="1">IF(INDIRECT("'Student_Record 1'!E" &amp; ROW())="", "", INDIRECT("'Student_Record 1'!E" &amp; ROW()))</f>
        <v/>
      </c>
      <c r="D724" s="8" t="str" cm="1">
        <f t="array" aca="1" ref="D724" ca="1">IF(INDIRECT("'Student_Record 1'!G" &amp; ROW())="", "", INDIRECT("'Student_Record 1'!G" &amp; ROW()))</f>
        <v/>
      </c>
      <c r="E724" s="8" t="str" cm="1">
        <f t="array" aca="1" ref="E724" ca="1">IF(INDIRECT("'Student_Record 1'!I" &amp; ROW())="", "", INDIRECT("'Student_Record 1'!I" &amp; ROW()))</f>
        <v/>
      </c>
      <c r="F724" s="8" t="str" cm="1">
        <f t="array" aca="1" ref="F724" ca="1">IF(INDIRECT("'Student_Record 1'!O" &amp; ROW())="", "", INDIRECT("'Student_Record 1'!O" &amp; ROW()))</f>
        <v/>
      </c>
      <c r="G724" s="11"/>
      <c r="I724" s="11"/>
      <c r="J724" s="11"/>
      <c r="K724" s="11"/>
      <c r="L724" s="11"/>
      <c r="M724" s="11"/>
      <c r="N724" s="11"/>
      <c r="O724" s="11"/>
      <c r="P724" s="11"/>
      <c r="Q724" s="11"/>
    </row>
    <row r="725" spans="1:17" x14ac:dyDescent="0.25">
      <c r="A725" s="8" t="str" cm="1">
        <f t="array" aca="1" ref="A725" ca="1">IF(INDIRECT("'Student_Record 1'!A" &amp; ROW())="", "", INDIRECT("'Student_Record 1'!A" &amp; ROW()))</f>
        <v/>
      </c>
      <c r="B725" s="8" t="str" cm="1">
        <f t="array" aca="1" ref="B725" ca="1">IF(INDIRECT("'Student_Record 1'!C" &amp; ROW())="", "", INDIRECT("'Student_Record 1'!C" &amp; ROW()))</f>
        <v/>
      </c>
      <c r="C725" s="8" t="str" cm="1">
        <f t="array" aca="1" ref="C725" ca="1">IF(INDIRECT("'Student_Record 1'!E" &amp; ROW())="", "", INDIRECT("'Student_Record 1'!E" &amp; ROW()))</f>
        <v/>
      </c>
      <c r="D725" s="8" t="str" cm="1">
        <f t="array" aca="1" ref="D725" ca="1">IF(INDIRECT("'Student_Record 1'!G" &amp; ROW())="", "", INDIRECT("'Student_Record 1'!G" &amp; ROW()))</f>
        <v/>
      </c>
      <c r="E725" s="8" t="str" cm="1">
        <f t="array" aca="1" ref="E725" ca="1">IF(INDIRECT("'Student_Record 1'!I" &amp; ROW())="", "", INDIRECT("'Student_Record 1'!I" &amp; ROW()))</f>
        <v/>
      </c>
      <c r="F725" s="8" t="str" cm="1">
        <f t="array" aca="1" ref="F725" ca="1">IF(INDIRECT("'Student_Record 1'!O" &amp; ROW())="", "", INDIRECT("'Student_Record 1'!O" &amp; ROW()))</f>
        <v/>
      </c>
      <c r="G725" s="11"/>
      <c r="I725" s="11"/>
      <c r="J725" s="11"/>
      <c r="K725" s="11"/>
      <c r="L725" s="11"/>
      <c r="M725" s="11"/>
      <c r="N725" s="11"/>
      <c r="O725" s="11"/>
      <c r="P725" s="11"/>
      <c r="Q725" s="11"/>
    </row>
    <row r="726" spans="1:17" x14ac:dyDescent="0.25">
      <c r="A726" s="8" t="str" cm="1">
        <f t="array" aca="1" ref="A726" ca="1">IF(INDIRECT("'Student_Record 1'!A" &amp; ROW())="", "", INDIRECT("'Student_Record 1'!A" &amp; ROW()))</f>
        <v/>
      </c>
      <c r="B726" s="8" t="str" cm="1">
        <f t="array" aca="1" ref="B726" ca="1">IF(INDIRECT("'Student_Record 1'!C" &amp; ROW())="", "", INDIRECT("'Student_Record 1'!C" &amp; ROW()))</f>
        <v/>
      </c>
      <c r="C726" s="8" t="str" cm="1">
        <f t="array" aca="1" ref="C726" ca="1">IF(INDIRECT("'Student_Record 1'!E" &amp; ROW())="", "", INDIRECT("'Student_Record 1'!E" &amp; ROW()))</f>
        <v/>
      </c>
      <c r="D726" s="8" t="str" cm="1">
        <f t="array" aca="1" ref="D726" ca="1">IF(INDIRECT("'Student_Record 1'!G" &amp; ROW())="", "", INDIRECT("'Student_Record 1'!G" &amp; ROW()))</f>
        <v/>
      </c>
      <c r="E726" s="8" t="str" cm="1">
        <f t="array" aca="1" ref="E726" ca="1">IF(INDIRECT("'Student_Record 1'!I" &amp; ROW())="", "", INDIRECT("'Student_Record 1'!I" &amp; ROW()))</f>
        <v/>
      </c>
      <c r="F726" s="8" t="str" cm="1">
        <f t="array" aca="1" ref="F726" ca="1">IF(INDIRECT("'Student_Record 1'!O" &amp; ROW())="", "", INDIRECT("'Student_Record 1'!O" &amp; ROW()))</f>
        <v/>
      </c>
      <c r="G726" s="11"/>
      <c r="I726" s="11"/>
      <c r="J726" s="11"/>
      <c r="K726" s="11"/>
      <c r="L726" s="11"/>
      <c r="M726" s="11"/>
      <c r="N726" s="11"/>
      <c r="O726" s="11"/>
      <c r="P726" s="11"/>
      <c r="Q726" s="11"/>
    </row>
    <row r="727" spans="1:17" x14ac:dyDescent="0.25">
      <c r="A727" s="8" t="str" cm="1">
        <f t="array" aca="1" ref="A727" ca="1">IF(INDIRECT("'Student_Record 1'!A" &amp; ROW())="", "", INDIRECT("'Student_Record 1'!A" &amp; ROW()))</f>
        <v/>
      </c>
      <c r="B727" s="8" t="str" cm="1">
        <f t="array" aca="1" ref="B727" ca="1">IF(INDIRECT("'Student_Record 1'!C" &amp; ROW())="", "", INDIRECT("'Student_Record 1'!C" &amp; ROW()))</f>
        <v/>
      </c>
      <c r="C727" s="8" t="str" cm="1">
        <f t="array" aca="1" ref="C727" ca="1">IF(INDIRECT("'Student_Record 1'!E" &amp; ROW())="", "", INDIRECT("'Student_Record 1'!E" &amp; ROW()))</f>
        <v/>
      </c>
      <c r="D727" s="8" t="str" cm="1">
        <f t="array" aca="1" ref="D727" ca="1">IF(INDIRECT("'Student_Record 1'!G" &amp; ROW())="", "", INDIRECT("'Student_Record 1'!G" &amp; ROW()))</f>
        <v/>
      </c>
      <c r="E727" s="8" t="str" cm="1">
        <f t="array" aca="1" ref="E727" ca="1">IF(INDIRECT("'Student_Record 1'!I" &amp; ROW())="", "", INDIRECT("'Student_Record 1'!I" &amp; ROW()))</f>
        <v/>
      </c>
      <c r="F727" s="8" t="str" cm="1">
        <f t="array" aca="1" ref="F727" ca="1">IF(INDIRECT("'Student_Record 1'!O" &amp; ROW())="", "", INDIRECT("'Student_Record 1'!O" &amp; ROW()))</f>
        <v/>
      </c>
      <c r="G727" s="11"/>
      <c r="I727" s="11"/>
      <c r="J727" s="11"/>
      <c r="K727" s="11"/>
      <c r="L727" s="11"/>
      <c r="M727" s="11"/>
      <c r="N727" s="11"/>
      <c r="O727" s="11"/>
      <c r="P727" s="11"/>
      <c r="Q727" s="11"/>
    </row>
    <row r="728" spans="1:17" x14ac:dyDescent="0.25">
      <c r="A728" s="8" t="str" cm="1">
        <f t="array" aca="1" ref="A728" ca="1">IF(INDIRECT("'Student_Record 1'!A" &amp; ROW())="", "", INDIRECT("'Student_Record 1'!A" &amp; ROW()))</f>
        <v/>
      </c>
      <c r="B728" s="8" t="str" cm="1">
        <f t="array" aca="1" ref="B728" ca="1">IF(INDIRECT("'Student_Record 1'!C" &amp; ROW())="", "", INDIRECT("'Student_Record 1'!C" &amp; ROW()))</f>
        <v/>
      </c>
      <c r="C728" s="8" t="str" cm="1">
        <f t="array" aca="1" ref="C728" ca="1">IF(INDIRECT("'Student_Record 1'!E" &amp; ROW())="", "", INDIRECT("'Student_Record 1'!E" &amp; ROW()))</f>
        <v/>
      </c>
      <c r="D728" s="8" t="str" cm="1">
        <f t="array" aca="1" ref="D728" ca="1">IF(INDIRECT("'Student_Record 1'!G" &amp; ROW())="", "", INDIRECT("'Student_Record 1'!G" &amp; ROW()))</f>
        <v/>
      </c>
      <c r="E728" s="8" t="str" cm="1">
        <f t="array" aca="1" ref="E728" ca="1">IF(INDIRECT("'Student_Record 1'!I" &amp; ROW())="", "", INDIRECT("'Student_Record 1'!I" &amp; ROW()))</f>
        <v/>
      </c>
      <c r="F728" s="8" t="str" cm="1">
        <f t="array" aca="1" ref="F728" ca="1">IF(INDIRECT("'Student_Record 1'!O" &amp; ROW())="", "", INDIRECT("'Student_Record 1'!O" &amp; ROW()))</f>
        <v/>
      </c>
      <c r="G728" s="11"/>
      <c r="I728" s="11"/>
      <c r="J728" s="11"/>
      <c r="K728" s="11"/>
      <c r="L728" s="11"/>
      <c r="M728" s="11"/>
      <c r="N728" s="11"/>
      <c r="O728" s="11"/>
      <c r="P728" s="11"/>
      <c r="Q728" s="11"/>
    </row>
    <row r="729" spans="1:17" x14ac:dyDescent="0.25">
      <c r="A729" s="8" t="str" cm="1">
        <f t="array" aca="1" ref="A729" ca="1">IF(INDIRECT("'Student_Record 1'!A" &amp; ROW())="", "", INDIRECT("'Student_Record 1'!A" &amp; ROW()))</f>
        <v/>
      </c>
      <c r="B729" s="8" t="str" cm="1">
        <f t="array" aca="1" ref="B729" ca="1">IF(INDIRECT("'Student_Record 1'!C" &amp; ROW())="", "", INDIRECT("'Student_Record 1'!C" &amp; ROW()))</f>
        <v/>
      </c>
      <c r="C729" s="8" t="str" cm="1">
        <f t="array" aca="1" ref="C729" ca="1">IF(INDIRECT("'Student_Record 1'!E" &amp; ROW())="", "", INDIRECT("'Student_Record 1'!E" &amp; ROW()))</f>
        <v/>
      </c>
      <c r="D729" s="8" t="str" cm="1">
        <f t="array" aca="1" ref="D729" ca="1">IF(INDIRECT("'Student_Record 1'!G" &amp; ROW())="", "", INDIRECT("'Student_Record 1'!G" &amp; ROW()))</f>
        <v/>
      </c>
      <c r="E729" s="8" t="str" cm="1">
        <f t="array" aca="1" ref="E729" ca="1">IF(INDIRECT("'Student_Record 1'!I" &amp; ROW())="", "", INDIRECT("'Student_Record 1'!I" &amp; ROW()))</f>
        <v/>
      </c>
      <c r="F729" s="8" t="str" cm="1">
        <f t="array" aca="1" ref="F729" ca="1">IF(INDIRECT("'Student_Record 1'!O" &amp; ROW())="", "", INDIRECT("'Student_Record 1'!O" &amp; ROW()))</f>
        <v/>
      </c>
      <c r="G729" s="11"/>
      <c r="I729" s="11"/>
      <c r="J729" s="11"/>
      <c r="K729" s="11"/>
      <c r="L729" s="11"/>
      <c r="M729" s="11"/>
      <c r="N729" s="11"/>
      <c r="O729" s="11"/>
      <c r="P729" s="11"/>
      <c r="Q729" s="11"/>
    </row>
    <row r="730" spans="1:17" x14ac:dyDescent="0.25">
      <c r="A730" s="8" t="str" cm="1">
        <f t="array" aca="1" ref="A730" ca="1">IF(INDIRECT("'Student_Record 1'!A" &amp; ROW())="", "", INDIRECT("'Student_Record 1'!A" &amp; ROW()))</f>
        <v/>
      </c>
      <c r="B730" s="8" t="str" cm="1">
        <f t="array" aca="1" ref="B730" ca="1">IF(INDIRECT("'Student_Record 1'!C" &amp; ROW())="", "", INDIRECT("'Student_Record 1'!C" &amp; ROW()))</f>
        <v/>
      </c>
      <c r="C730" s="8" t="str" cm="1">
        <f t="array" aca="1" ref="C730" ca="1">IF(INDIRECT("'Student_Record 1'!E" &amp; ROW())="", "", INDIRECT("'Student_Record 1'!E" &amp; ROW()))</f>
        <v/>
      </c>
      <c r="D730" s="8" t="str" cm="1">
        <f t="array" aca="1" ref="D730" ca="1">IF(INDIRECT("'Student_Record 1'!G" &amp; ROW())="", "", INDIRECT("'Student_Record 1'!G" &amp; ROW()))</f>
        <v/>
      </c>
      <c r="E730" s="8" t="str" cm="1">
        <f t="array" aca="1" ref="E730" ca="1">IF(INDIRECT("'Student_Record 1'!I" &amp; ROW())="", "", INDIRECT("'Student_Record 1'!I" &amp; ROW()))</f>
        <v/>
      </c>
      <c r="F730" s="8" t="str" cm="1">
        <f t="array" aca="1" ref="F730" ca="1">IF(INDIRECT("'Student_Record 1'!O" &amp; ROW())="", "", INDIRECT("'Student_Record 1'!O" &amp; ROW()))</f>
        <v/>
      </c>
      <c r="G730" s="11"/>
      <c r="I730" s="11"/>
      <c r="J730" s="11"/>
      <c r="K730" s="11"/>
      <c r="L730" s="11"/>
      <c r="M730" s="11"/>
      <c r="N730" s="11"/>
      <c r="O730" s="11"/>
      <c r="P730" s="11"/>
      <c r="Q730" s="11"/>
    </row>
    <row r="731" spans="1:17" x14ac:dyDescent="0.25">
      <c r="A731" s="8" t="str" cm="1">
        <f t="array" aca="1" ref="A731" ca="1">IF(INDIRECT("'Student_Record 1'!A" &amp; ROW())="", "", INDIRECT("'Student_Record 1'!A" &amp; ROW()))</f>
        <v/>
      </c>
      <c r="B731" s="8" t="str" cm="1">
        <f t="array" aca="1" ref="B731" ca="1">IF(INDIRECT("'Student_Record 1'!C" &amp; ROW())="", "", INDIRECT("'Student_Record 1'!C" &amp; ROW()))</f>
        <v/>
      </c>
      <c r="C731" s="8" t="str" cm="1">
        <f t="array" aca="1" ref="C731" ca="1">IF(INDIRECT("'Student_Record 1'!E" &amp; ROW())="", "", INDIRECT("'Student_Record 1'!E" &amp; ROW()))</f>
        <v/>
      </c>
      <c r="D731" s="8" t="str" cm="1">
        <f t="array" aca="1" ref="D731" ca="1">IF(INDIRECT("'Student_Record 1'!G" &amp; ROW())="", "", INDIRECT("'Student_Record 1'!G" &amp; ROW()))</f>
        <v/>
      </c>
      <c r="E731" s="8" t="str" cm="1">
        <f t="array" aca="1" ref="E731" ca="1">IF(INDIRECT("'Student_Record 1'!I" &amp; ROW())="", "", INDIRECT("'Student_Record 1'!I" &amp; ROW()))</f>
        <v/>
      </c>
      <c r="F731" s="8" t="str" cm="1">
        <f t="array" aca="1" ref="F731" ca="1">IF(INDIRECT("'Student_Record 1'!O" &amp; ROW())="", "", INDIRECT("'Student_Record 1'!O" &amp; ROW()))</f>
        <v/>
      </c>
      <c r="G731" s="11"/>
      <c r="I731" s="11"/>
      <c r="J731" s="11"/>
      <c r="K731" s="11"/>
      <c r="L731" s="11"/>
      <c r="M731" s="11"/>
      <c r="N731" s="11"/>
      <c r="O731" s="11"/>
      <c r="P731" s="11"/>
      <c r="Q731" s="11"/>
    </row>
    <row r="732" spans="1:17" x14ac:dyDescent="0.25">
      <c r="A732" s="8" t="str" cm="1">
        <f t="array" aca="1" ref="A732" ca="1">IF(INDIRECT("'Student_Record 1'!A" &amp; ROW())="", "", INDIRECT("'Student_Record 1'!A" &amp; ROW()))</f>
        <v/>
      </c>
      <c r="B732" s="8" t="str" cm="1">
        <f t="array" aca="1" ref="B732" ca="1">IF(INDIRECT("'Student_Record 1'!C" &amp; ROW())="", "", INDIRECT("'Student_Record 1'!C" &amp; ROW()))</f>
        <v/>
      </c>
      <c r="C732" s="8" t="str" cm="1">
        <f t="array" aca="1" ref="C732" ca="1">IF(INDIRECT("'Student_Record 1'!E" &amp; ROW())="", "", INDIRECT("'Student_Record 1'!E" &amp; ROW()))</f>
        <v/>
      </c>
      <c r="D732" s="8" t="str" cm="1">
        <f t="array" aca="1" ref="D732" ca="1">IF(INDIRECT("'Student_Record 1'!G" &amp; ROW())="", "", INDIRECT("'Student_Record 1'!G" &amp; ROW()))</f>
        <v/>
      </c>
      <c r="E732" s="8" t="str" cm="1">
        <f t="array" aca="1" ref="E732" ca="1">IF(INDIRECT("'Student_Record 1'!I" &amp; ROW())="", "", INDIRECT("'Student_Record 1'!I" &amp; ROW()))</f>
        <v/>
      </c>
      <c r="F732" s="8" t="str" cm="1">
        <f t="array" aca="1" ref="F732" ca="1">IF(INDIRECT("'Student_Record 1'!O" &amp; ROW())="", "", INDIRECT("'Student_Record 1'!O" &amp; ROW()))</f>
        <v/>
      </c>
      <c r="G732" s="11"/>
      <c r="I732" s="11"/>
      <c r="J732" s="11"/>
      <c r="K732" s="11"/>
      <c r="L732" s="11"/>
      <c r="M732" s="11"/>
      <c r="N732" s="11"/>
      <c r="O732" s="11"/>
      <c r="P732" s="11"/>
      <c r="Q732" s="11"/>
    </row>
    <row r="733" spans="1:17" x14ac:dyDescent="0.25">
      <c r="A733" s="8" t="str" cm="1">
        <f t="array" aca="1" ref="A733" ca="1">IF(INDIRECT("'Student_Record 1'!A" &amp; ROW())="", "", INDIRECT("'Student_Record 1'!A" &amp; ROW()))</f>
        <v/>
      </c>
      <c r="B733" s="8" t="str" cm="1">
        <f t="array" aca="1" ref="B733" ca="1">IF(INDIRECT("'Student_Record 1'!C" &amp; ROW())="", "", INDIRECT("'Student_Record 1'!C" &amp; ROW()))</f>
        <v/>
      </c>
      <c r="C733" s="8" t="str" cm="1">
        <f t="array" aca="1" ref="C733" ca="1">IF(INDIRECT("'Student_Record 1'!E" &amp; ROW())="", "", INDIRECT("'Student_Record 1'!E" &amp; ROW()))</f>
        <v/>
      </c>
      <c r="D733" s="8" t="str" cm="1">
        <f t="array" aca="1" ref="D733" ca="1">IF(INDIRECT("'Student_Record 1'!G" &amp; ROW())="", "", INDIRECT("'Student_Record 1'!G" &amp; ROW()))</f>
        <v/>
      </c>
      <c r="E733" s="8" t="str" cm="1">
        <f t="array" aca="1" ref="E733" ca="1">IF(INDIRECT("'Student_Record 1'!I" &amp; ROW())="", "", INDIRECT("'Student_Record 1'!I" &amp; ROW()))</f>
        <v/>
      </c>
      <c r="F733" s="8" t="str" cm="1">
        <f t="array" aca="1" ref="F733" ca="1">IF(INDIRECT("'Student_Record 1'!O" &amp; ROW())="", "", INDIRECT("'Student_Record 1'!O" &amp; ROW()))</f>
        <v/>
      </c>
      <c r="G733" s="11"/>
      <c r="I733" s="11"/>
      <c r="J733" s="11"/>
      <c r="K733" s="11"/>
      <c r="L733" s="11"/>
      <c r="M733" s="11"/>
      <c r="N733" s="11"/>
      <c r="O733" s="11"/>
      <c r="P733" s="11"/>
      <c r="Q733" s="11"/>
    </row>
    <row r="734" spans="1:17" x14ac:dyDescent="0.25">
      <c r="A734" s="8" t="str" cm="1">
        <f t="array" aca="1" ref="A734" ca="1">IF(INDIRECT("'Student_Record 1'!A" &amp; ROW())="", "", INDIRECT("'Student_Record 1'!A" &amp; ROW()))</f>
        <v/>
      </c>
      <c r="B734" s="8" t="str" cm="1">
        <f t="array" aca="1" ref="B734" ca="1">IF(INDIRECT("'Student_Record 1'!C" &amp; ROW())="", "", INDIRECT("'Student_Record 1'!C" &amp; ROW()))</f>
        <v/>
      </c>
      <c r="C734" s="8" t="str" cm="1">
        <f t="array" aca="1" ref="C734" ca="1">IF(INDIRECT("'Student_Record 1'!E" &amp; ROW())="", "", INDIRECT("'Student_Record 1'!E" &amp; ROW()))</f>
        <v/>
      </c>
      <c r="D734" s="8" t="str" cm="1">
        <f t="array" aca="1" ref="D734" ca="1">IF(INDIRECT("'Student_Record 1'!G" &amp; ROW())="", "", INDIRECT("'Student_Record 1'!G" &amp; ROW()))</f>
        <v/>
      </c>
      <c r="E734" s="8" t="str" cm="1">
        <f t="array" aca="1" ref="E734" ca="1">IF(INDIRECT("'Student_Record 1'!I" &amp; ROW())="", "", INDIRECT("'Student_Record 1'!I" &amp; ROW()))</f>
        <v/>
      </c>
      <c r="F734" s="8" t="str" cm="1">
        <f t="array" aca="1" ref="F734" ca="1">IF(INDIRECT("'Student_Record 1'!O" &amp; ROW())="", "", INDIRECT("'Student_Record 1'!O" &amp; ROW()))</f>
        <v/>
      </c>
      <c r="G734" s="11"/>
      <c r="I734" s="11"/>
      <c r="J734" s="11"/>
      <c r="K734" s="11"/>
      <c r="L734" s="11"/>
      <c r="M734" s="11"/>
      <c r="N734" s="11"/>
      <c r="O734" s="11"/>
      <c r="P734" s="11"/>
      <c r="Q734" s="11"/>
    </row>
    <row r="735" spans="1:17" x14ac:dyDescent="0.25">
      <c r="A735" s="8" t="str" cm="1">
        <f t="array" aca="1" ref="A735" ca="1">IF(INDIRECT("'Student_Record 1'!A" &amp; ROW())="", "", INDIRECT("'Student_Record 1'!A" &amp; ROW()))</f>
        <v/>
      </c>
      <c r="B735" s="8" t="str" cm="1">
        <f t="array" aca="1" ref="B735" ca="1">IF(INDIRECT("'Student_Record 1'!C" &amp; ROW())="", "", INDIRECT("'Student_Record 1'!C" &amp; ROW()))</f>
        <v/>
      </c>
      <c r="C735" s="8" t="str" cm="1">
        <f t="array" aca="1" ref="C735" ca="1">IF(INDIRECT("'Student_Record 1'!E" &amp; ROW())="", "", INDIRECT("'Student_Record 1'!E" &amp; ROW()))</f>
        <v/>
      </c>
      <c r="D735" s="8" t="str" cm="1">
        <f t="array" aca="1" ref="D735" ca="1">IF(INDIRECT("'Student_Record 1'!G" &amp; ROW())="", "", INDIRECT("'Student_Record 1'!G" &amp; ROW()))</f>
        <v/>
      </c>
      <c r="E735" s="8" t="str" cm="1">
        <f t="array" aca="1" ref="E735" ca="1">IF(INDIRECT("'Student_Record 1'!I" &amp; ROW())="", "", INDIRECT("'Student_Record 1'!I" &amp; ROW()))</f>
        <v/>
      </c>
      <c r="F735" s="8" t="str" cm="1">
        <f t="array" aca="1" ref="F735" ca="1">IF(INDIRECT("'Student_Record 1'!O" &amp; ROW())="", "", INDIRECT("'Student_Record 1'!O" &amp; ROW()))</f>
        <v/>
      </c>
      <c r="G735" s="11"/>
      <c r="I735" s="11"/>
      <c r="J735" s="11"/>
      <c r="K735" s="11"/>
      <c r="L735" s="11"/>
      <c r="M735" s="11"/>
      <c r="N735" s="11"/>
      <c r="O735" s="11"/>
      <c r="P735" s="11"/>
      <c r="Q735" s="11"/>
    </row>
    <row r="736" spans="1:17" x14ac:dyDescent="0.25">
      <c r="A736" s="8" t="str" cm="1">
        <f t="array" aca="1" ref="A736" ca="1">IF(INDIRECT("'Student_Record 1'!A" &amp; ROW())="", "", INDIRECT("'Student_Record 1'!A" &amp; ROW()))</f>
        <v/>
      </c>
      <c r="B736" s="8" t="str" cm="1">
        <f t="array" aca="1" ref="B736" ca="1">IF(INDIRECT("'Student_Record 1'!C" &amp; ROW())="", "", INDIRECT("'Student_Record 1'!C" &amp; ROW()))</f>
        <v/>
      </c>
      <c r="C736" s="8" t="str" cm="1">
        <f t="array" aca="1" ref="C736" ca="1">IF(INDIRECT("'Student_Record 1'!E" &amp; ROW())="", "", INDIRECT("'Student_Record 1'!E" &amp; ROW()))</f>
        <v/>
      </c>
      <c r="D736" s="8" t="str" cm="1">
        <f t="array" aca="1" ref="D736" ca="1">IF(INDIRECT("'Student_Record 1'!G" &amp; ROW())="", "", INDIRECT("'Student_Record 1'!G" &amp; ROW()))</f>
        <v/>
      </c>
      <c r="E736" s="8" t="str" cm="1">
        <f t="array" aca="1" ref="E736" ca="1">IF(INDIRECT("'Student_Record 1'!I" &amp; ROW())="", "", INDIRECT("'Student_Record 1'!I" &amp; ROW()))</f>
        <v/>
      </c>
      <c r="F736" s="8" t="str" cm="1">
        <f t="array" aca="1" ref="F736" ca="1">IF(INDIRECT("'Student_Record 1'!O" &amp; ROW())="", "", INDIRECT("'Student_Record 1'!O" &amp; ROW()))</f>
        <v/>
      </c>
      <c r="G736" s="11"/>
      <c r="I736" s="11"/>
      <c r="J736" s="11"/>
      <c r="K736" s="11"/>
      <c r="L736" s="11"/>
      <c r="M736" s="11"/>
      <c r="N736" s="11"/>
      <c r="O736" s="11"/>
      <c r="P736" s="11"/>
      <c r="Q736" s="11"/>
    </row>
    <row r="737" spans="1:17" x14ac:dyDescent="0.25">
      <c r="A737" s="8" t="str" cm="1">
        <f t="array" aca="1" ref="A737" ca="1">IF(INDIRECT("'Student_Record 1'!A" &amp; ROW())="", "", INDIRECT("'Student_Record 1'!A" &amp; ROW()))</f>
        <v/>
      </c>
      <c r="B737" s="8" t="str" cm="1">
        <f t="array" aca="1" ref="B737" ca="1">IF(INDIRECT("'Student_Record 1'!C" &amp; ROW())="", "", INDIRECT("'Student_Record 1'!C" &amp; ROW()))</f>
        <v/>
      </c>
      <c r="C737" s="8" t="str" cm="1">
        <f t="array" aca="1" ref="C737" ca="1">IF(INDIRECT("'Student_Record 1'!E" &amp; ROW())="", "", INDIRECT("'Student_Record 1'!E" &amp; ROW()))</f>
        <v/>
      </c>
      <c r="D737" s="8" t="str" cm="1">
        <f t="array" aca="1" ref="D737" ca="1">IF(INDIRECT("'Student_Record 1'!G" &amp; ROW())="", "", INDIRECT("'Student_Record 1'!G" &amp; ROW()))</f>
        <v/>
      </c>
      <c r="E737" s="8" t="str" cm="1">
        <f t="array" aca="1" ref="E737" ca="1">IF(INDIRECT("'Student_Record 1'!I" &amp; ROW())="", "", INDIRECT("'Student_Record 1'!I" &amp; ROW()))</f>
        <v/>
      </c>
      <c r="F737" s="8" t="str" cm="1">
        <f t="array" aca="1" ref="F737" ca="1">IF(INDIRECT("'Student_Record 1'!O" &amp; ROW())="", "", INDIRECT("'Student_Record 1'!O" &amp; ROW()))</f>
        <v/>
      </c>
      <c r="G737" s="11"/>
      <c r="I737" s="11"/>
      <c r="J737" s="11"/>
      <c r="K737" s="11"/>
      <c r="L737" s="11"/>
      <c r="M737" s="11"/>
      <c r="N737" s="11"/>
      <c r="O737" s="11"/>
      <c r="P737" s="11"/>
      <c r="Q737" s="11"/>
    </row>
    <row r="738" spans="1:17" x14ac:dyDescent="0.25">
      <c r="A738" s="8" t="str" cm="1">
        <f t="array" aca="1" ref="A738" ca="1">IF(INDIRECT("'Student_Record 1'!A" &amp; ROW())="", "", INDIRECT("'Student_Record 1'!A" &amp; ROW()))</f>
        <v/>
      </c>
      <c r="B738" s="8" t="str" cm="1">
        <f t="array" aca="1" ref="B738" ca="1">IF(INDIRECT("'Student_Record 1'!C" &amp; ROW())="", "", INDIRECT("'Student_Record 1'!C" &amp; ROW()))</f>
        <v/>
      </c>
      <c r="C738" s="8" t="str" cm="1">
        <f t="array" aca="1" ref="C738" ca="1">IF(INDIRECT("'Student_Record 1'!E" &amp; ROW())="", "", INDIRECT("'Student_Record 1'!E" &amp; ROW()))</f>
        <v/>
      </c>
      <c r="D738" s="8" t="str" cm="1">
        <f t="array" aca="1" ref="D738" ca="1">IF(INDIRECT("'Student_Record 1'!G" &amp; ROW())="", "", INDIRECT("'Student_Record 1'!G" &amp; ROW()))</f>
        <v/>
      </c>
      <c r="E738" s="8" t="str" cm="1">
        <f t="array" aca="1" ref="E738" ca="1">IF(INDIRECT("'Student_Record 1'!I" &amp; ROW())="", "", INDIRECT("'Student_Record 1'!I" &amp; ROW()))</f>
        <v/>
      </c>
      <c r="F738" s="8" t="str" cm="1">
        <f t="array" aca="1" ref="F738" ca="1">IF(INDIRECT("'Student_Record 1'!O" &amp; ROW())="", "", INDIRECT("'Student_Record 1'!O" &amp; ROW()))</f>
        <v/>
      </c>
      <c r="G738" s="11"/>
      <c r="I738" s="11"/>
      <c r="J738" s="11"/>
      <c r="K738" s="11"/>
      <c r="L738" s="11"/>
      <c r="M738" s="11"/>
      <c r="N738" s="11"/>
      <c r="O738" s="11"/>
      <c r="P738" s="11"/>
      <c r="Q738" s="11"/>
    </row>
    <row r="739" spans="1:17" x14ac:dyDescent="0.25">
      <c r="A739" s="8" t="str" cm="1">
        <f t="array" aca="1" ref="A739" ca="1">IF(INDIRECT("'Student_Record 1'!A" &amp; ROW())="", "", INDIRECT("'Student_Record 1'!A" &amp; ROW()))</f>
        <v/>
      </c>
      <c r="B739" s="8" t="str" cm="1">
        <f t="array" aca="1" ref="B739" ca="1">IF(INDIRECT("'Student_Record 1'!C" &amp; ROW())="", "", INDIRECT("'Student_Record 1'!C" &amp; ROW()))</f>
        <v/>
      </c>
      <c r="C739" s="8" t="str" cm="1">
        <f t="array" aca="1" ref="C739" ca="1">IF(INDIRECT("'Student_Record 1'!E" &amp; ROW())="", "", INDIRECT("'Student_Record 1'!E" &amp; ROW()))</f>
        <v/>
      </c>
      <c r="D739" s="8" t="str" cm="1">
        <f t="array" aca="1" ref="D739" ca="1">IF(INDIRECT("'Student_Record 1'!G" &amp; ROW())="", "", INDIRECT("'Student_Record 1'!G" &amp; ROW()))</f>
        <v/>
      </c>
      <c r="E739" s="8" t="str" cm="1">
        <f t="array" aca="1" ref="E739" ca="1">IF(INDIRECT("'Student_Record 1'!I" &amp; ROW())="", "", INDIRECT("'Student_Record 1'!I" &amp; ROW()))</f>
        <v/>
      </c>
      <c r="F739" s="8" t="str" cm="1">
        <f t="array" aca="1" ref="F739" ca="1">IF(INDIRECT("'Student_Record 1'!O" &amp; ROW())="", "", INDIRECT("'Student_Record 1'!O" &amp; ROW()))</f>
        <v/>
      </c>
      <c r="G739" s="11"/>
      <c r="I739" s="11"/>
      <c r="J739" s="11"/>
      <c r="K739" s="11"/>
      <c r="L739" s="11"/>
      <c r="M739" s="11"/>
      <c r="N739" s="11"/>
      <c r="O739" s="11"/>
      <c r="P739" s="11"/>
      <c r="Q739" s="11"/>
    </row>
    <row r="740" spans="1:17" x14ac:dyDescent="0.25">
      <c r="A740" s="8" t="str" cm="1">
        <f t="array" aca="1" ref="A740" ca="1">IF(INDIRECT("'Student_Record 1'!A" &amp; ROW())="", "", INDIRECT("'Student_Record 1'!A" &amp; ROW()))</f>
        <v/>
      </c>
      <c r="B740" s="8" t="str" cm="1">
        <f t="array" aca="1" ref="B740" ca="1">IF(INDIRECT("'Student_Record 1'!C" &amp; ROW())="", "", INDIRECT("'Student_Record 1'!C" &amp; ROW()))</f>
        <v/>
      </c>
      <c r="C740" s="8" t="str" cm="1">
        <f t="array" aca="1" ref="C740" ca="1">IF(INDIRECT("'Student_Record 1'!E" &amp; ROW())="", "", INDIRECT("'Student_Record 1'!E" &amp; ROW()))</f>
        <v/>
      </c>
      <c r="D740" s="8" t="str" cm="1">
        <f t="array" aca="1" ref="D740" ca="1">IF(INDIRECT("'Student_Record 1'!G" &amp; ROW())="", "", INDIRECT("'Student_Record 1'!G" &amp; ROW()))</f>
        <v/>
      </c>
      <c r="E740" s="8" t="str" cm="1">
        <f t="array" aca="1" ref="E740" ca="1">IF(INDIRECT("'Student_Record 1'!I" &amp; ROW())="", "", INDIRECT("'Student_Record 1'!I" &amp; ROW()))</f>
        <v/>
      </c>
      <c r="F740" s="8" t="str" cm="1">
        <f t="array" aca="1" ref="F740" ca="1">IF(INDIRECT("'Student_Record 1'!O" &amp; ROW())="", "", INDIRECT("'Student_Record 1'!O" &amp; ROW()))</f>
        <v/>
      </c>
      <c r="G740" s="11"/>
      <c r="I740" s="11"/>
      <c r="J740" s="11"/>
      <c r="K740" s="11"/>
      <c r="L740" s="11"/>
      <c r="M740" s="11"/>
      <c r="N740" s="11"/>
      <c r="O740" s="11"/>
      <c r="P740" s="11"/>
      <c r="Q740" s="11"/>
    </row>
    <row r="741" spans="1:17" x14ac:dyDescent="0.25">
      <c r="A741" s="8" t="str" cm="1">
        <f t="array" aca="1" ref="A741" ca="1">IF(INDIRECT("'Student_Record 1'!A" &amp; ROW())="", "", INDIRECT("'Student_Record 1'!A" &amp; ROW()))</f>
        <v/>
      </c>
      <c r="B741" s="8" t="str" cm="1">
        <f t="array" aca="1" ref="B741" ca="1">IF(INDIRECT("'Student_Record 1'!C" &amp; ROW())="", "", INDIRECT("'Student_Record 1'!C" &amp; ROW()))</f>
        <v/>
      </c>
      <c r="C741" s="8" t="str" cm="1">
        <f t="array" aca="1" ref="C741" ca="1">IF(INDIRECT("'Student_Record 1'!E" &amp; ROW())="", "", INDIRECT("'Student_Record 1'!E" &amp; ROW()))</f>
        <v/>
      </c>
      <c r="D741" s="8" t="str" cm="1">
        <f t="array" aca="1" ref="D741" ca="1">IF(INDIRECT("'Student_Record 1'!G" &amp; ROW())="", "", INDIRECT("'Student_Record 1'!G" &amp; ROW()))</f>
        <v/>
      </c>
      <c r="E741" s="8" t="str" cm="1">
        <f t="array" aca="1" ref="E741" ca="1">IF(INDIRECT("'Student_Record 1'!I" &amp; ROW())="", "", INDIRECT("'Student_Record 1'!I" &amp; ROW()))</f>
        <v/>
      </c>
      <c r="F741" s="8" t="str" cm="1">
        <f t="array" aca="1" ref="F741" ca="1">IF(INDIRECT("'Student_Record 1'!O" &amp; ROW())="", "", INDIRECT("'Student_Record 1'!O" &amp; ROW()))</f>
        <v/>
      </c>
      <c r="G741" s="11"/>
      <c r="I741" s="11"/>
      <c r="J741" s="11"/>
      <c r="K741" s="11"/>
      <c r="L741" s="11"/>
      <c r="M741" s="11"/>
      <c r="N741" s="11"/>
      <c r="O741" s="11"/>
      <c r="P741" s="11"/>
      <c r="Q741" s="11"/>
    </row>
    <row r="742" spans="1:17" x14ac:dyDescent="0.25">
      <c r="A742" s="8" t="str" cm="1">
        <f t="array" aca="1" ref="A742" ca="1">IF(INDIRECT("'Student_Record 1'!A" &amp; ROW())="", "", INDIRECT("'Student_Record 1'!A" &amp; ROW()))</f>
        <v/>
      </c>
      <c r="B742" s="8" t="str" cm="1">
        <f t="array" aca="1" ref="B742" ca="1">IF(INDIRECT("'Student_Record 1'!C" &amp; ROW())="", "", INDIRECT("'Student_Record 1'!C" &amp; ROW()))</f>
        <v/>
      </c>
      <c r="C742" s="8" t="str" cm="1">
        <f t="array" aca="1" ref="C742" ca="1">IF(INDIRECT("'Student_Record 1'!E" &amp; ROW())="", "", INDIRECT("'Student_Record 1'!E" &amp; ROW()))</f>
        <v/>
      </c>
      <c r="D742" s="8" t="str" cm="1">
        <f t="array" aca="1" ref="D742" ca="1">IF(INDIRECT("'Student_Record 1'!G" &amp; ROW())="", "", INDIRECT("'Student_Record 1'!G" &amp; ROW()))</f>
        <v/>
      </c>
      <c r="E742" s="8" t="str" cm="1">
        <f t="array" aca="1" ref="E742" ca="1">IF(INDIRECT("'Student_Record 1'!I" &amp; ROW())="", "", INDIRECT("'Student_Record 1'!I" &amp; ROW()))</f>
        <v/>
      </c>
      <c r="F742" s="8" t="str" cm="1">
        <f t="array" aca="1" ref="F742" ca="1">IF(INDIRECT("'Student_Record 1'!O" &amp; ROW())="", "", INDIRECT("'Student_Record 1'!O" &amp; ROW()))</f>
        <v/>
      </c>
      <c r="G742" s="11"/>
      <c r="I742" s="11"/>
      <c r="J742" s="11"/>
      <c r="K742" s="11"/>
      <c r="L742" s="11"/>
      <c r="M742" s="11"/>
      <c r="N742" s="11"/>
      <c r="O742" s="11"/>
      <c r="P742" s="11"/>
      <c r="Q742" s="11"/>
    </row>
    <row r="743" spans="1:17" x14ac:dyDescent="0.25">
      <c r="A743" s="8" t="str" cm="1">
        <f t="array" aca="1" ref="A743" ca="1">IF(INDIRECT("'Student_Record 1'!A" &amp; ROW())="", "", INDIRECT("'Student_Record 1'!A" &amp; ROW()))</f>
        <v/>
      </c>
      <c r="B743" s="8" t="str" cm="1">
        <f t="array" aca="1" ref="B743" ca="1">IF(INDIRECT("'Student_Record 1'!C" &amp; ROW())="", "", INDIRECT("'Student_Record 1'!C" &amp; ROW()))</f>
        <v/>
      </c>
      <c r="C743" s="8" t="str" cm="1">
        <f t="array" aca="1" ref="C743" ca="1">IF(INDIRECT("'Student_Record 1'!E" &amp; ROW())="", "", INDIRECT("'Student_Record 1'!E" &amp; ROW()))</f>
        <v/>
      </c>
      <c r="D743" s="8" t="str" cm="1">
        <f t="array" aca="1" ref="D743" ca="1">IF(INDIRECT("'Student_Record 1'!G" &amp; ROW())="", "", INDIRECT("'Student_Record 1'!G" &amp; ROW()))</f>
        <v/>
      </c>
      <c r="E743" s="8" t="str" cm="1">
        <f t="array" aca="1" ref="E743" ca="1">IF(INDIRECT("'Student_Record 1'!I" &amp; ROW())="", "", INDIRECT("'Student_Record 1'!I" &amp; ROW()))</f>
        <v/>
      </c>
      <c r="F743" s="8" t="str" cm="1">
        <f t="array" aca="1" ref="F743" ca="1">IF(INDIRECT("'Student_Record 1'!O" &amp; ROW())="", "", INDIRECT("'Student_Record 1'!O" &amp; ROW()))</f>
        <v/>
      </c>
      <c r="G743" s="11"/>
      <c r="I743" s="11"/>
      <c r="J743" s="11"/>
      <c r="K743" s="11"/>
      <c r="L743" s="11"/>
      <c r="M743" s="11"/>
      <c r="N743" s="11"/>
      <c r="O743" s="11"/>
      <c r="P743" s="11"/>
      <c r="Q743" s="11"/>
    </row>
    <row r="744" spans="1:17" x14ac:dyDescent="0.25">
      <c r="A744" s="8" t="str" cm="1">
        <f t="array" aca="1" ref="A744" ca="1">IF(INDIRECT("'Student_Record 1'!A" &amp; ROW())="", "", INDIRECT("'Student_Record 1'!A" &amp; ROW()))</f>
        <v/>
      </c>
      <c r="B744" s="8" t="str" cm="1">
        <f t="array" aca="1" ref="B744" ca="1">IF(INDIRECT("'Student_Record 1'!C" &amp; ROW())="", "", INDIRECT("'Student_Record 1'!C" &amp; ROW()))</f>
        <v/>
      </c>
      <c r="C744" s="8" t="str" cm="1">
        <f t="array" aca="1" ref="C744" ca="1">IF(INDIRECT("'Student_Record 1'!E" &amp; ROW())="", "", INDIRECT("'Student_Record 1'!E" &amp; ROW()))</f>
        <v/>
      </c>
      <c r="D744" s="8" t="str" cm="1">
        <f t="array" aca="1" ref="D744" ca="1">IF(INDIRECT("'Student_Record 1'!G" &amp; ROW())="", "", INDIRECT("'Student_Record 1'!G" &amp; ROW()))</f>
        <v/>
      </c>
      <c r="E744" s="8" t="str" cm="1">
        <f t="array" aca="1" ref="E744" ca="1">IF(INDIRECT("'Student_Record 1'!I" &amp; ROW())="", "", INDIRECT("'Student_Record 1'!I" &amp; ROW()))</f>
        <v/>
      </c>
      <c r="F744" s="8" t="str" cm="1">
        <f t="array" aca="1" ref="F744" ca="1">IF(INDIRECT("'Student_Record 1'!O" &amp; ROW())="", "", INDIRECT("'Student_Record 1'!O" &amp; ROW()))</f>
        <v/>
      </c>
      <c r="G744" s="11"/>
      <c r="I744" s="11"/>
      <c r="J744" s="11"/>
      <c r="K744" s="11"/>
      <c r="L744" s="11"/>
      <c r="M744" s="11"/>
      <c r="N744" s="11"/>
      <c r="O744" s="11"/>
      <c r="P744" s="11"/>
      <c r="Q744" s="11"/>
    </row>
    <row r="745" spans="1:17" x14ac:dyDescent="0.25">
      <c r="A745" s="8" t="str" cm="1">
        <f t="array" aca="1" ref="A745" ca="1">IF(INDIRECT("'Student_Record 1'!A" &amp; ROW())="", "", INDIRECT("'Student_Record 1'!A" &amp; ROW()))</f>
        <v/>
      </c>
      <c r="B745" s="8" t="str" cm="1">
        <f t="array" aca="1" ref="B745" ca="1">IF(INDIRECT("'Student_Record 1'!C" &amp; ROW())="", "", INDIRECT("'Student_Record 1'!C" &amp; ROW()))</f>
        <v/>
      </c>
      <c r="C745" s="8" t="str" cm="1">
        <f t="array" aca="1" ref="C745" ca="1">IF(INDIRECT("'Student_Record 1'!E" &amp; ROW())="", "", INDIRECT("'Student_Record 1'!E" &amp; ROW()))</f>
        <v/>
      </c>
      <c r="D745" s="8" t="str" cm="1">
        <f t="array" aca="1" ref="D745" ca="1">IF(INDIRECT("'Student_Record 1'!G" &amp; ROW())="", "", INDIRECT("'Student_Record 1'!G" &amp; ROW()))</f>
        <v/>
      </c>
      <c r="E745" s="8" t="str" cm="1">
        <f t="array" aca="1" ref="E745" ca="1">IF(INDIRECT("'Student_Record 1'!I" &amp; ROW())="", "", INDIRECT("'Student_Record 1'!I" &amp; ROW()))</f>
        <v/>
      </c>
      <c r="F745" s="8" t="str" cm="1">
        <f t="array" aca="1" ref="F745" ca="1">IF(INDIRECT("'Student_Record 1'!O" &amp; ROW())="", "", INDIRECT("'Student_Record 1'!O" &amp; ROW()))</f>
        <v/>
      </c>
      <c r="G745" s="11"/>
      <c r="I745" s="11"/>
      <c r="J745" s="11"/>
      <c r="K745" s="11"/>
      <c r="L745" s="11"/>
      <c r="M745" s="11"/>
      <c r="N745" s="11"/>
      <c r="O745" s="11"/>
      <c r="P745" s="11"/>
      <c r="Q745" s="11"/>
    </row>
    <row r="746" spans="1:17" x14ac:dyDescent="0.25">
      <c r="A746" s="8" t="str" cm="1">
        <f t="array" aca="1" ref="A746" ca="1">IF(INDIRECT("'Student_Record 1'!A" &amp; ROW())="", "", INDIRECT("'Student_Record 1'!A" &amp; ROW()))</f>
        <v/>
      </c>
      <c r="B746" s="8" t="str" cm="1">
        <f t="array" aca="1" ref="B746" ca="1">IF(INDIRECT("'Student_Record 1'!C" &amp; ROW())="", "", INDIRECT("'Student_Record 1'!C" &amp; ROW()))</f>
        <v/>
      </c>
      <c r="C746" s="8" t="str" cm="1">
        <f t="array" aca="1" ref="C746" ca="1">IF(INDIRECT("'Student_Record 1'!E" &amp; ROW())="", "", INDIRECT("'Student_Record 1'!E" &amp; ROW()))</f>
        <v/>
      </c>
      <c r="D746" s="8" t="str" cm="1">
        <f t="array" aca="1" ref="D746" ca="1">IF(INDIRECT("'Student_Record 1'!G" &amp; ROW())="", "", INDIRECT("'Student_Record 1'!G" &amp; ROW()))</f>
        <v/>
      </c>
      <c r="E746" s="8" t="str" cm="1">
        <f t="array" aca="1" ref="E746" ca="1">IF(INDIRECT("'Student_Record 1'!I" &amp; ROW())="", "", INDIRECT("'Student_Record 1'!I" &amp; ROW()))</f>
        <v/>
      </c>
      <c r="F746" s="8" t="str" cm="1">
        <f t="array" aca="1" ref="F746" ca="1">IF(INDIRECT("'Student_Record 1'!O" &amp; ROW())="", "", INDIRECT("'Student_Record 1'!O" &amp; ROW()))</f>
        <v/>
      </c>
      <c r="G746" s="11"/>
      <c r="I746" s="11"/>
      <c r="J746" s="11"/>
      <c r="K746" s="11"/>
      <c r="L746" s="11"/>
      <c r="M746" s="11"/>
      <c r="N746" s="11"/>
      <c r="O746" s="11"/>
      <c r="P746" s="11"/>
      <c r="Q746" s="11"/>
    </row>
    <row r="747" spans="1:17" x14ac:dyDescent="0.25">
      <c r="A747" s="8" t="str" cm="1">
        <f t="array" aca="1" ref="A747" ca="1">IF(INDIRECT("'Student_Record 1'!A" &amp; ROW())="", "", INDIRECT("'Student_Record 1'!A" &amp; ROW()))</f>
        <v/>
      </c>
      <c r="B747" s="8" t="str" cm="1">
        <f t="array" aca="1" ref="B747" ca="1">IF(INDIRECT("'Student_Record 1'!C" &amp; ROW())="", "", INDIRECT("'Student_Record 1'!C" &amp; ROW()))</f>
        <v/>
      </c>
      <c r="C747" s="8" t="str" cm="1">
        <f t="array" aca="1" ref="C747" ca="1">IF(INDIRECT("'Student_Record 1'!E" &amp; ROW())="", "", INDIRECT("'Student_Record 1'!E" &amp; ROW()))</f>
        <v/>
      </c>
      <c r="D747" s="8" t="str" cm="1">
        <f t="array" aca="1" ref="D747" ca="1">IF(INDIRECT("'Student_Record 1'!G" &amp; ROW())="", "", INDIRECT("'Student_Record 1'!G" &amp; ROW()))</f>
        <v/>
      </c>
      <c r="E747" s="8" t="str" cm="1">
        <f t="array" aca="1" ref="E747" ca="1">IF(INDIRECT("'Student_Record 1'!I" &amp; ROW())="", "", INDIRECT("'Student_Record 1'!I" &amp; ROW()))</f>
        <v/>
      </c>
      <c r="F747" s="8" t="str" cm="1">
        <f t="array" aca="1" ref="F747" ca="1">IF(INDIRECT("'Student_Record 1'!O" &amp; ROW())="", "", INDIRECT("'Student_Record 1'!O" &amp; ROW()))</f>
        <v/>
      </c>
      <c r="G747" s="11"/>
      <c r="I747" s="11"/>
      <c r="J747" s="11"/>
      <c r="K747" s="11"/>
      <c r="L747" s="11"/>
      <c r="M747" s="11"/>
      <c r="N747" s="11"/>
      <c r="O747" s="11"/>
      <c r="P747" s="11"/>
      <c r="Q747" s="11"/>
    </row>
    <row r="748" spans="1:17" x14ac:dyDescent="0.25">
      <c r="A748" s="8" t="str" cm="1">
        <f t="array" aca="1" ref="A748" ca="1">IF(INDIRECT("'Student_Record 1'!A" &amp; ROW())="", "", INDIRECT("'Student_Record 1'!A" &amp; ROW()))</f>
        <v/>
      </c>
      <c r="B748" s="8" t="str" cm="1">
        <f t="array" aca="1" ref="B748" ca="1">IF(INDIRECT("'Student_Record 1'!C" &amp; ROW())="", "", INDIRECT("'Student_Record 1'!C" &amp; ROW()))</f>
        <v/>
      </c>
      <c r="C748" s="8" t="str" cm="1">
        <f t="array" aca="1" ref="C748" ca="1">IF(INDIRECT("'Student_Record 1'!E" &amp; ROW())="", "", INDIRECT("'Student_Record 1'!E" &amp; ROW()))</f>
        <v/>
      </c>
      <c r="D748" s="8" t="str" cm="1">
        <f t="array" aca="1" ref="D748" ca="1">IF(INDIRECT("'Student_Record 1'!G" &amp; ROW())="", "", INDIRECT("'Student_Record 1'!G" &amp; ROW()))</f>
        <v/>
      </c>
      <c r="E748" s="8" t="str" cm="1">
        <f t="array" aca="1" ref="E748" ca="1">IF(INDIRECT("'Student_Record 1'!I" &amp; ROW())="", "", INDIRECT("'Student_Record 1'!I" &amp; ROW()))</f>
        <v/>
      </c>
      <c r="F748" s="8" t="str" cm="1">
        <f t="array" aca="1" ref="F748" ca="1">IF(INDIRECT("'Student_Record 1'!O" &amp; ROW())="", "", INDIRECT("'Student_Record 1'!O" &amp; ROW()))</f>
        <v/>
      </c>
      <c r="G748" s="11"/>
      <c r="I748" s="11"/>
      <c r="J748" s="11"/>
      <c r="K748" s="11"/>
      <c r="L748" s="11"/>
      <c r="M748" s="11"/>
      <c r="N748" s="11"/>
      <c r="O748" s="11"/>
      <c r="P748" s="11"/>
      <c r="Q748" s="11"/>
    </row>
    <row r="749" spans="1:17" x14ac:dyDescent="0.25">
      <c r="A749" s="8" t="str" cm="1">
        <f t="array" aca="1" ref="A749" ca="1">IF(INDIRECT("'Student_Record 1'!A" &amp; ROW())="", "", INDIRECT("'Student_Record 1'!A" &amp; ROW()))</f>
        <v/>
      </c>
      <c r="B749" s="8" t="str" cm="1">
        <f t="array" aca="1" ref="B749" ca="1">IF(INDIRECT("'Student_Record 1'!C" &amp; ROW())="", "", INDIRECT("'Student_Record 1'!C" &amp; ROW()))</f>
        <v/>
      </c>
      <c r="C749" s="8" t="str" cm="1">
        <f t="array" aca="1" ref="C749" ca="1">IF(INDIRECT("'Student_Record 1'!E" &amp; ROW())="", "", INDIRECT("'Student_Record 1'!E" &amp; ROW()))</f>
        <v/>
      </c>
      <c r="D749" s="8" t="str" cm="1">
        <f t="array" aca="1" ref="D749" ca="1">IF(INDIRECT("'Student_Record 1'!G" &amp; ROW())="", "", INDIRECT("'Student_Record 1'!G" &amp; ROW()))</f>
        <v/>
      </c>
      <c r="E749" s="8" t="str" cm="1">
        <f t="array" aca="1" ref="E749" ca="1">IF(INDIRECT("'Student_Record 1'!I" &amp; ROW())="", "", INDIRECT("'Student_Record 1'!I" &amp; ROW()))</f>
        <v/>
      </c>
      <c r="F749" s="8" t="str" cm="1">
        <f t="array" aca="1" ref="F749" ca="1">IF(INDIRECT("'Student_Record 1'!O" &amp; ROW())="", "", INDIRECT("'Student_Record 1'!O" &amp; ROW()))</f>
        <v/>
      </c>
      <c r="G749" s="11"/>
      <c r="I749" s="11"/>
      <c r="J749" s="11"/>
      <c r="K749" s="11"/>
      <c r="L749" s="11"/>
      <c r="M749" s="11"/>
      <c r="N749" s="11"/>
      <c r="O749" s="11"/>
      <c r="P749" s="11"/>
      <c r="Q749" s="11"/>
    </row>
    <row r="750" spans="1:17" x14ac:dyDescent="0.25">
      <c r="A750" s="8" t="str" cm="1">
        <f t="array" aca="1" ref="A750" ca="1">IF(INDIRECT("'Student_Record 1'!A" &amp; ROW())="", "", INDIRECT("'Student_Record 1'!A" &amp; ROW()))</f>
        <v/>
      </c>
      <c r="B750" s="8" t="str" cm="1">
        <f t="array" aca="1" ref="B750" ca="1">IF(INDIRECT("'Student_Record 1'!C" &amp; ROW())="", "", INDIRECT("'Student_Record 1'!C" &amp; ROW()))</f>
        <v/>
      </c>
      <c r="C750" s="8" t="str" cm="1">
        <f t="array" aca="1" ref="C750" ca="1">IF(INDIRECT("'Student_Record 1'!E" &amp; ROW())="", "", INDIRECT("'Student_Record 1'!E" &amp; ROW()))</f>
        <v/>
      </c>
      <c r="D750" s="8" t="str" cm="1">
        <f t="array" aca="1" ref="D750" ca="1">IF(INDIRECT("'Student_Record 1'!G" &amp; ROW())="", "", INDIRECT("'Student_Record 1'!G" &amp; ROW()))</f>
        <v/>
      </c>
      <c r="E750" s="8" t="str" cm="1">
        <f t="array" aca="1" ref="E750" ca="1">IF(INDIRECT("'Student_Record 1'!I" &amp; ROW())="", "", INDIRECT("'Student_Record 1'!I" &amp; ROW()))</f>
        <v/>
      </c>
      <c r="F750" s="8" t="str" cm="1">
        <f t="array" aca="1" ref="F750" ca="1">IF(INDIRECT("'Student_Record 1'!O" &amp; ROW())="", "", INDIRECT("'Student_Record 1'!O" &amp; ROW()))</f>
        <v/>
      </c>
      <c r="G750" s="11"/>
      <c r="I750" s="11"/>
      <c r="J750" s="11"/>
      <c r="K750" s="11"/>
      <c r="L750" s="11"/>
      <c r="M750" s="11"/>
      <c r="N750" s="11"/>
      <c r="O750" s="11"/>
      <c r="P750" s="11"/>
      <c r="Q750" s="11"/>
    </row>
    <row r="751" spans="1:17" x14ac:dyDescent="0.25">
      <c r="A751" s="8" t="str" cm="1">
        <f t="array" aca="1" ref="A751" ca="1">IF(INDIRECT("'Student_Record 1'!A" &amp; ROW())="", "", INDIRECT("'Student_Record 1'!A" &amp; ROW()))</f>
        <v/>
      </c>
      <c r="B751" s="8" t="str" cm="1">
        <f t="array" aca="1" ref="B751" ca="1">IF(INDIRECT("'Student_Record 1'!C" &amp; ROW())="", "", INDIRECT("'Student_Record 1'!C" &amp; ROW()))</f>
        <v/>
      </c>
      <c r="C751" s="8" t="str" cm="1">
        <f t="array" aca="1" ref="C751" ca="1">IF(INDIRECT("'Student_Record 1'!E" &amp; ROW())="", "", INDIRECT("'Student_Record 1'!E" &amp; ROW()))</f>
        <v/>
      </c>
      <c r="D751" s="8" t="str" cm="1">
        <f t="array" aca="1" ref="D751" ca="1">IF(INDIRECT("'Student_Record 1'!G" &amp; ROW())="", "", INDIRECT("'Student_Record 1'!G" &amp; ROW()))</f>
        <v/>
      </c>
      <c r="E751" s="8" t="str" cm="1">
        <f t="array" aca="1" ref="E751" ca="1">IF(INDIRECT("'Student_Record 1'!I" &amp; ROW())="", "", INDIRECT("'Student_Record 1'!I" &amp; ROW()))</f>
        <v/>
      </c>
      <c r="F751" s="8" t="str" cm="1">
        <f t="array" aca="1" ref="F751" ca="1">IF(INDIRECT("'Student_Record 1'!O" &amp; ROW())="", "", INDIRECT("'Student_Record 1'!O" &amp; ROW()))</f>
        <v/>
      </c>
      <c r="G751" s="11"/>
      <c r="I751" s="11"/>
      <c r="J751" s="11"/>
      <c r="K751" s="11"/>
      <c r="L751" s="11"/>
      <c r="M751" s="11"/>
      <c r="N751" s="11"/>
      <c r="O751" s="11"/>
      <c r="P751" s="11"/>
      <c r="Q751" s="11"/>
    </row>
    <row r="752" spans="1:17" x14ac:dyDescent="0.25">
      <c r="A752" s="8" t="str" cm="1">
        <f t="array" aca="1" ref="A752" ca="1">IF(INDIRECT("'Student_Record 1'!A" &amp; ROW())="", "", INDIRECT("'Student_Record 1'!A" &amp; ROW()))</f>
        <v/>
      </c>
      <c r="B752" s="8" t="str" cm="1">
        <f t="array" aca="1" ref="B752" ca="1">IF(INDIRECT("'Student_Record 1'!C" &amp; ROW())="", "", INDIRECT("'Student_Record 1'!C" &amp; ROW()))</f>
        <v/>
      </c>
      <c r="C752" s="8" t="str" cm="1">
        <f t="array" aca="1" ref="C752" ca="1">IF(INDIRECT("'Student_Record 1'!E" &amp; ROW())="", "", INDIRECT("'Student_Record 1'!E" &amp; ROW()))</f>
        <v/>
      </c>
      <c r="D752" s="8" t="str" cm="1">
        <f t="array" aca="1" ref="D752" ca="1">IF(INDIRECT("'Student_Record 1'!G" &amp; ROW())="", "", INDIRECT("'Student_Record 1'!G" &amp; ROW()))</f>
        <v/>
      </c>
      <c r="E752" s="8" t="str" cm="1">
        <f t="array" aca="1" ref="E752" ca="1">IF(INDIRECT("'Student_Record 1'!I" &amp; ROW())="", "", INDIRECT("'Student_Record 1'!I" &amp; ROW()))</f>
        <v/>
      </c>
      <c r="F752" s="8" t="str" cm="1">
        <f t="array" aca="1" ref="F752" ca="1">IF(INDIRECT("'Student_Record 1'!O" &amp; ROW())="", "", INDIRECT("'Student_Record 1'!O" &amp; ROW()))</f>
        <v/>
      </c>
      <c r="G752" s="11"/>
      <c r="I752" s="11"/>
      <c r="J752" s="11"/>
      <c r="K752" s="11"/>
      <c r="L752" s="11"/>
      <c r="M752" s="11"/>
      <c r="N752" s="11"/>
      <c r="O752" s="11"/>
      <c r="P752" s="11"/>
      <c r="Q752" s="11"/>
    </row>
    <row r="753" spans="1:17" x14ac:dyDescent="0.25">
      <c r="A753" s="8" t="str" cm="1">
        <f t="array" aca="1" ref="A753" ca="1">IF(INDIRECT("'Student_Record 1'!A" &amp; ROW())="", "", INDIRECT("'Student_Record 1'!A" &amp; ROW()))</f>
        <v/>
      </c>
      <c r="B753" s="8" t="str" cm="1">
        <f t="array" aca="1" ref="B753" ca="1">IF(INDIRECT("'Student_Record 1'!C" &amp; ROW())="", "", INDIRECT("'Student_Record 1'!C" &amp; ROW()))</f>
        <v/>
      </c>
      <c r="C753" s="8" t="str" cm="1">
        <f t="array" aca="1" ref="C753" ca="1">IF(INDIRECT("'Student_Record 1'!E" &amp; ROW())="", "", INDIRECT("'Student_Record 1'!E" &amp; ROW()))</f>
        <v/>
      </c>
      <c r="D753" s="8" t="str" cm="1">
        <f t="array" aca="1" ref="D753" ca="1">IF(INDIRECT("'Student_Record 1'!G" &amp; ROW())="", "", INDIRECT("'Student_Record 1'!G" &amp; ROW()))</f>
        <v/>
      </c>
      <c r="E753" s="8" t="str" cm="1">
        <f t="array" aca="1" ref="E753" ca="1">IF(INDIRECT("'Student_Record 1'!I" &amp; ROW())="", "", INDIRECT("'Student_Record 1'!I" &amp; ROW()))</f>
        <v/>
      </c>
      <c r="F753" s="8" t="str" cm="1">
        <f t="array" aca="1" ref="F753" ca="1">IF(INDIRECT("'Student_Record 1'!O" &amp; ROW())="", "", INDIRECT("'Student_Record 1'!O" &amp; ROW()))</f>
        <v/>
      </c>
      <c r="G753" s="11"/>
      <c r="I753" s="11"/>
      <c r="J753" s="11"/>
      <c r="K753" s="11"/>
      <c r="L753" s="11"/>
      <c r="M753" s="11"/>
      <c r="N753" s="11"/>
      <c r="O753" s="11"/>
      <c r="P753" s="11"/>
      <c r="Q753" s="11"/>
    </row>
    <row r="754" spans="1:17" x14ac:dyDescent="0.25">
      <c r="A754" s="8" t="str" cm="1">
        <f t="array" aca="1" ref="A754" ca="1">IF(INDIRECT("'Student_Record 1'!A" &amp; ROW())="", "", INDIRECT("'Student_Record 1'!A" &amp; ROW()))</f>
        <v/>
      </c>
      <c r="B754" s="8" t="str" cm="1">
        <f t="array" aca="1" ref="B754" ca="1">IF(INDIRECT("'Student_Record 1'!C" &amp; ROW())="", "", INDIRECT("'Student_Record 1'!C" &amp; ROW()))</f>
        <v/>
      </c>
      <c r="C754" s="8" t="str" cm="1">
        <f t="array" aca="1" ref="C754" ca="1">IF(INDIRECT("'Student_Record 1'!E" &amp; ROW())="", "", INDIRECT("'Student_Record 1'!E" &amp; ROW()))</f>
        <v/>
      </c>
      <c r="D754" s="8" t="str" cm="1">
        <f t="array" aca="1" ref="D754" ca="1">IF(INDIRECT("'Student_Record 1'!G" &amp; ROW())="", "", INDIRECT("'Student_Record 1'!G" &amp; ROW()))</f>
        <v/>
      </c>
      <c r="E754" s="8" t="str" cm="1">
        <f t="array" aca="1" ref="E754" ca="1">IF(INDIRECT("'Student_Record 1'!I" &amp; ROW())="", "", INDIRECT("'Student_Record 1'!I" &amp; ROW()))</f>
        <v/>
      </c>
      <c r="F754" s="8" t="str" cm="1">
        <f t="array" aca="1" ref="F754" ca="1">IF(INDIRECT("'Student_Record 1'!O" &amp; ROW())="", "", INDIRECT("'Student_Record 1'!O" &amp; ROW()))</f>
        <v/>
      </c>
      <c r="G754" s="11"/>
      <c r="I754" s="11"/>
      <c r="J754" s="11"/>
      <c r="K754" s="11"/>
      <c r="L754" s="11"/>
      <c r="M754" s="11"/>
      <c r="N754" s="11"/>
      <c r="O754" s="11"/>
      <c r="P754" s="11"/>
      <c r="Q754" s="11"/>
    </row>
    <row r="755" spans="1:17" x14ac:dyDescent="0.25">
      <c r="A755" s="8" t="str" cm="1">
        <f t="array" aca="1" ref="A755" ca="1">IF(INDIRECT("'Student_Record 1'!A" &amp; ROW())="", "", INDIRECT("'Student_Record 1'!A" &amp; ROW()))</f>
        <v/>
      </c>
      <c r="B755" s="8" t="str" cm="1">
        <f t="array" aca="1" ref="B755" ca="1">IF(INDIRECT("'Student_Record 1'!C" &amp; ROW())="", "", INDIRECT("'Student_Record 1'!C" &amp; ROW()))</f>
        <v/>
      </c>
      <c r="C755" s="8" t="str" cm="1">
        <f t="array" aca="1" ref="C755" ca="1">IF(INDIRECT("'Student_Record 1'!E" &amp; ROW())="", "", INDIRECT("'Student_Record 1'!E" &amp; ROW()))</f>
        <v/>
      </c>
      <c r="D755" s="8" t="str" cm="1">
        <f t="array" aca="1" ref="D755" ca="1">IF(INDIRECT("'Student_Record 1'!G" &amp; ROW())="", "", INDIRECT("'Student_Record 1'!G" &amp; ROW()))</f>
        <v/>
      </c>
      <c r="E755" s="8" t="str" cm="1">
        <f t="array" aca="1" ref="E755" ca="1">IF(INDIRECT("'Student_Record 1'!I" &amp; ROW())="", "", INDIRECT("'Student_Record 1'!I" &amp; ROW()))</f>
        <v/>
      </c>
      <c r="F755" s="8" t="str" cm="1">
        <f t="array" aca="1" ref="F755" ca="1">IF(INDIRECT("'Student_Record 1'!O" &amp; ROW())="", "", INDIRECT("'Student_Record 1'!O" &amp; ROW()))</f>
        <v/>
      </c>
      <c r="G755" s="11"/>
      <c r="I755" s="11"/>
      <c r="J755" s="11"/>
      <c r="K755" s="11"/>
      <c r="L755" s="11"/>
      <c r="M755" s="11"/>
      <c r="N755" s="11"/>
      <c r="O755" s="11"/>
      <c r="P755" s="11"/>
      <c r="Q755" s="11"/>
    </row>
    <row r="756" spans="1:17" x14ac:dyDescent="0.25">
      <c r="A756" s="8" t="str" cm="1">
        <f t="array" aca="1" ref="A756" ca="1">IF(INDIRECT("'Student_Record 1'!A" &amp; ROW())="", "", INDIRECT("'Student_Record 1'!A" &amp; ROW()))</f>
        <v/>
      </c>
      <c r="B756" s="8" t="str" cm="1">
        <f t="array" aca="1" ref="B756" ca="1">IF(INDIRECT("'Student_Record 1'!C" &amp; ROW())="", "", INDIRECT("'Student_Record 1'!C" &amp; ROW()))</f>
        <v/>
      </c>
      <c r="C756" s="8" t="str" cm="1">
        <f t="array" aca="1" ref="C756" ca="1">IF(INDIRECT("'Student_Record 1'!E" &amp; ROW())="", "", INDIRECT("'Student_Record 1'!E" &amp; ROW()))</f>
        <v/>
      </c>
      <c r="D756" s="8" t="str" cm="1">
        <f t="array" aca="1" ref="D756" ca="1">IF(INDIRECT("'Student_Record 1'!G" &amp; ROW())="", "", INDIRECT("'Student_Record 1'!G" &amp; ROW()))</f>
        <v/>
      </c>
      <c r="E756" s="8" t="str" cm="1">
        <f t="array" aca="1" ref="E756" ca="1">IF(INDIRECT("'Student_Record 1'!I" &amp; ROW())="", "", INDIRECT("'Student_Record 1'!I" &amp; ROW()))</f>
        <v/>
      </c>
      <c r="F756" s="8" t="str" cm="1">
        <f t="array" aca="1" ref="F756" ca="1">IF(INDIRECT("'Student_Record 1'!O" &amp; ROW())="", "", INDIRECT("'Student_Record 1'!O" &amp; ROW()))</f>
        <v/>
      </c>
      <c r="G756" s="11"/>
      <c r="I756" s="11"/>
      <c r="J756" s="11"/>
      <c r="K756" s="11"/>
      <c r="L756" s="11"/>
      <c r="M756" s="11"/>
      <c r="N756" s="11"/>
      <c r="O756" s="11"/>
      <c r="P756" s="11"/>
      <c r="Q756" s="11"/>
    </row>
    <row r="757" spans="1:17" x14ac:dyDescent="0.25">
      <c r="A757" s="8" t="str" cm="1">
        <f t="array" aca="1" ref="A757" ca="1">IF(INDIRECT("'Student_Record 1'!A" &amp; ROW())="", "", INDIRECT("'Student_Record 1'!A" &amp; ROW()))</f>
        <v/>
      </c>
      <c r="B757" s="8" t="str" cm="1">
        <f t="array" aca="1" ref="B757" ca="1">IF(INDIRECT("'Student_Record 1'!C" &amp; ROW())="", "", INDIRECT("'Student_Record 1'!C" &amp; ROW()))</f>
        <v/>
      </c>
      <c r="C757" s="8" t="str" cm="1">
        <f t="array" aca="1" ref="C757" ca="1">IF(INDIRECT("'Student_Record 1'!E" &amp; ROW())="", "", INDIRECT("'Student_Record 1'!E" &amp; ROW()))</f>
        <v/>
      </c>
      <c r="D757" s="8" t="str" cm="1">
        <f t="array" aca="1" ref="D757" ca="1">IF(INDIRECT("'Student_Record 1'!G" &amp; ROW())="", "", INDIRECT("'Student_Record 1'!G" &amp; ROW()))</f>
        <v/>
      </c>
      <c r="E757" s="8" t="str" cm="1">
        <f t="array" aca="1" ref="E757" ca="1">IF(INDIRECT("'Student_Record 1'!I" &amp; ROW())="", "", INDIRECT("'Student_Record 1'!I" &amp; ROW()))</f>
        <v/>
      </c>
      <c r="F757" s="8" t="str" cm="1">
        <f t="array" aca="1" ref="F757" ca="1">IF(INDIRECT("'Student_Record 1'!O" &amp; ROW())="", "", INDIRECT("'Student_Record 1'!O" &amp; ROW()))</f>
        <v/>
      </c>
      <c r="G757" s="11"/>
      <c r="I757" s="11"/>
      <c r="J757" s="11"/>
      <c r="K757" s="11"/>
      <c r="L757" s="11"/>
      <c r="M757" s="11"/>
      <c r="N757" s="11"/>
      <c r="O757" s="11"/>
      <c r="P757" s="11"/>
      <c r="Q757" s="11"/>
    </row>
    <row r="758" spans="1:17" x14ac:dyDescent="0.25">
      <c r="A758" s="8" t="str" cm="1">
        <f t="array" aca="1" ref="A758" ca="1">IF(INDIRECT("'Student_Record 1'!A" &amp; ROW())="", "", INDIRECT("'Student_Record 1'!A" &amp; ROW()))</f>
        <v/>
      </c>
      <c r="B758" s="8" t="str" cm="1">
        <f t="array" aca="1" ref="B758" ca="1">IF(INDIRECT("'Student_Record 1'!C" &amp; ROW())="", "", INDIRECT("'Student_Record 1'!C" &amp; ROW()))</f>
        <v/>
      </c>
      <c r="C758" s="8" t="str" cm="1">
        <f t="array" aca="1" ref="C758" ca="1">IF(INDIRECT("'Student_Record 1'!E" &amp; ROW())="", "", INDIRECT("'Student_Record 1'!E" &amp; ROW()))</f>
        <v/>
      </c>
      <c r="D758" s="8" t="str" cm="1">
        <f t="array" aca="1" ref="D758" ca="1">IF(INDIRECT("'Student_Record 1'!G" &amp; ROW())="", "", INDIRECT("'Student_Record 1'!G" &amp; ROW()))</f>
        <v/>
      </c>
      <c r="E758" s="8" t="str" cm="1">
        <f t="array" aca="1" ref="E758" ca="1">IF(INDIRECT("'Student_Record 1'!I" &amp; ROW())="", "", INDIRECT("'Student_Record 1'!I" &amp; ROW()))</f>
        <v/>
      </c>
      <c r="F758" s="8" t="str" cm="1">
        <f t="array" aca="1" ref="F758" ca="1">IF(INDIRECT("'Student_Record 1'!O" &amp; ROW())="", "", INDIRECT("'Student_Record 1'!O" &amp; ROW()))</f>
        <v/>
      </c>
      <c r="G758" s="11"/>
      <c r="I758" s="11"/>
      <c r="J758" s="11"/>
      <c r="K758" s="11"/>
      <c r="L758" s="11"/>
      <c r="M758" s="11"/>
      <c r="N758" s="11"/>
      <c r="O758" s="11"/>
      <c r="P758" s="11"/>
      <c r="Q758" s="11"/>
    </row>
    <row r="759" spans="1:17" x14ac:dyDescent="0.25">
      <c r="A759" s="8" t="str" cm="1">
        <f t="array" aca="1" ref="A759" ca="1">IF(INDIRECT("'Student_Record 1'!A" &amp; ROW())="", "", INDIRECT("'Student_Record 1'!A" &amp; ROW()))</f>
        <v/>
      </c>
      <c r="B759" s="8" t="str" cm="1">
        <f t="array" aca="1" ref="B759" ca="1">IF(INDIRECT("'Student_Record 1'!C" &amp; ROW())="", "", INDIRECT("'Student_Record 1'!C" &amp; ROW()))</f>
        <v/>
      </c>
      <c r="C759" s="8" t="str" cm="1">
        <f t="array" aca="1" ref="C759" ca="1">IF(INDIRECT("'Student_Record 1'!E" &amp; ROW())="", "", INDIRECT("'Student_Record 1'!E" &amp; ROW()))</f>
        <v/>
      </c>
      <c r="D759" s="8" t="str" cm="1">
        <f t="array" aca="1" ref="D759" ca="1">IF(INDIRECT("'Student_Record 1'!G" &amp; ROW())="", "", INDIRECT("'Student_Record 1'!G" &amp; ROW()))</f>
        <v/>
      </c>
      <c r="E759" s="8" t="str" cm="1">
        <f t="array" aca="1" ref="E759" ca="1">IF(INDIRECT("'Student_Record 1'!I" &amp; ROW())="", "", INDIRECT("'Student_Record 1'!I" &amp; ROW()))</f>
        <v/>
      </c>
      <c r="F759" s="8" t="str" cm="1">
        <f t="array" aca="1" ref="F759" ca="1">IF(INDIRECT("'Student_Record 1'!O" &amp; ROW())="", "", INDIRECT("'Student_Record 1'!O" &amp; ROW()))</f>
        <v/>
      </c>
      <c r="G759" s="11"/>
      <c r="I759" s="11"/>
      <c r="J759" s="11"/>
      <c r="K759" s="11"/>
      <c r="L759" s="11"/>
      <c r="M759" s="11"/>
      <c r="N759" s="11"/>
      <c r="O759" s="11"/>
      <c r="P759" s="11"/>
      <c r="Q759" s="11"/>
    </row>
    <row r="760" spans="1:17" x14ac:dyDescent="0.25">
      <c r="A760" s="8" t="str" cm="1">
        <f t="array" aca="1" ref="A760" ca="1">IF(INDIRECT("'Student_Record 1'!A" &amp; ROW())="", "", INDIRECT("'Student_Record 1'!A" &amp; ROW()))</f>
        <v/>
      </c>
      <c r="B760" s="8" t="str" cm="1">
        <f t="array" aca="1" ref="B760" ca="1">IF(INDIRECT("'Student_Record 1'!C" &amp; ROW())="", "", INDIRECT("'Student_Record 1'!C" &amp; ROW()))</f>
        <v/>
      </c>
      <c r="C760" s="8" t="str" cm="1">
        <f t="array" aca="1" ref="C760" ca="1">IF(INDIRECT("'Student_Record 1'!E" &amp; ROW())="", "", INDIRECT("'Student_Record 1'!E" &amp; ROW()))</f>
        <v/>
      </c>
      <c r="D760" s="8" t="str" cm="1">
        <f t="array" aca="1" ref="D760" ca="1">IF(INDIRECT("'Student_Record 1'!G" &amp; ROW())="", "", INDIRECT("'Student_Record 1'!G" &amp; ROW()))</f>
        <v/>
      </c>
      <c r="E760" s="8" t="str" cm="1">
        <f t="array" aca="1" ref="E760" ca="1">IF(INDIRECT("'Student_Record 1'!I" &amp; ROW())="", "", INDIRECT("'Student_Record 1'!I" &amp; ROW()))</f>
        <v/>
      </c>
      <c r="F760" s="8" t="str" cm="1">
        <f t="array" aca="1" ref="F760" ca="1">IF(INDIRECT("'Student_Record 1'!O" &amp; ROW())="", "", INDIRECT("'Student_Record 1'!O" &amp; ROW()))</f>
        <v/>
      </c>
      <c r="G760" s="11"/>
      <c r="I760" s="11"/>
      <c r="J760" s="11"/>
      <c r="K760" s="11"/>
      <c r="L760" s="11"/>
      <c r="M760" s="11"/>
      <c r="N760" s="11"/>
      <c r="O760" s="11"/>
      <c r="P760" s="11"/>
      <c r="Q760" s="11"/>
    </row>
    <row r="761" spans="1:17" x14ac:dyDescent="0.25">
      <c r="A761" s="8" t="str" cm="1">
        <f t="array" aca="1" ref="A761" ca="1">IF(INDIRECT("'Student_Record 1'!A" &amp; ROW())="", "", INDIRECT("'Student_Record 1'!A" &amp; ROW()))</f>
        <v/>
      </c>
      <c r="B761" s="8" t="str" cm="1">
        <f t="array" aca="1" ref="B761" ca="1">IF(INDIRECT("'Student_Record 1'!C" &amp; ROW())="", "", INDIRECT("'Student_Record 1'!C" &amp; ROW()))</f>
        <v/>
      </c>
      <c r="C761" s="8" t="str" cm="1">
        <f t="array" aca="1" ref="C761" ca="1">IF(INDIRECT("'Student_Record 1'!E" &amp; ROW())="", "", INDIRECT("'Student_Record 1'!E" &amp; ROW()))</f>
        <v/>
      </c>
      <c r="D761" s="8" t="str" cm="1">
        <f t="array" aca="1" ref="D761" ca="1">IF(INDIRECT("'Student_Record 1'!G" &amp; ROW())="", "", INDIRECT("'Student_Record 1'!G" &amp; ROW()))</f>
        <v/>
      </c>
      <c r="E761" s="8" t="str" cm="1">
        <f t="array" aca="1" ref="E761" ca="1">IF(INDIRECT("'Student_Record 1'!I" &amp; ROW())="", "", INDIRECT("'Student_Record 1'!I" &amp; ROW()))</f>
        <v/>
      </c>
      <c r="F761" s="8" t="str" cm="1">
        <f t="array" aca="1" ref="F761" ca="1">IF(INDIRECT("'Student_Record 1'!O" &amp; ROW())="", "", INDIRECT("'Student_Record 1'!O" &amp; ROW()))</f>
        <v/>
      </c>
      <c r="G761" s="11"/>
      <c r="I761" s="11"/>
      <c r="J761" s="11"/>
      <c r="K761" s="11"/>
      <c r="L761" s="11"/>
      <c r="M761" s="11"/>
      <c r="N761" s="11"/>
      <c r="O761" s="11"/>
      <c r="P761" s="11"/>
      <c r="Q761" s="11"/>
    </row>
    <row r="762" spans="1:17" x14ac:dyDescent="0.25">
      <c r="A762" s="8" t="str" cm="1">
        <f t="array" aca="1" ref="A762" ca="1">IF(INDIRECT("'Student_Record 1'!A" &amp; ROW())="", "", INDIRECT("'Student_Record 1'!A" &amp; ROW()))</f>
        <v/>
      </c>
      <c r="B762" s="8" t="str" cm="1">
        <f t="array" aca="1" ref="B762" ca="1">IF(INDIRECT("'Student_Record 1'!C" &amp; ROW())="", "", INDIRECT("'Student_Record 1'!C" &amp; ROW()))</f>
        <v/>
      </c>
      <c r="C762" s="8" t="str" cm="1">
        <f t="array" aca="1" ref="C762" ca="1">IF(INDIRECT("'Student_Record 1'!E" &amp; ROW())="", "", INDIRECT("'Student_Record 1'!E" &amp; ROW()))</f>
        <v/>
      </c>
      <c r="D762" s="8" t="str" cm="1">
        <f t="array" aca="1" ref="D762" ca="1">IF(INDIRECT("'Student_Record 1'!G" &amp; ROW())="", "", INDIRECT("'Student_Record 1'!G" &amp; ROW()))</f>
        <v/>
      </c>
      <c r="E762" s="8" t="str" cm="1">
        <f t="array" aca="1" ref="E762" ca="1">IF(INDIRECT("'Student_Record 1'!I" &amp; ROW())="", "", INDIRECT("'Student_Record 1'!I" &amp; ROW()))</f>
        <v/>
      </c>
      <c r="F762" s="8" t="str" cm="1">
        <f t="array" aca="1" ref="F762" ca="1">IF(INDIRECT("'Student_Record 1'!O" &amp; ROW())="", "", INDIRECT("'Student_Record 1'!O" &amp; ROW()))</f>
        <v/>
      </c>
      <c r="G762" s="11"/>
      <c r="I762" s="11"/>
      <c r="J762" s="11"/>
      <c r="K762" s="11"/>
      <c r="L762" s="11"/>
      <c r="M762" s="11"/>
      <c r="N762" s="11"/>
      <c r="O762" s="11"/>
      <c r="P762" s="11"/>
      <c r="Q762" s="11"/>
    </row>
    <row r="763" spans="1:17" x14ac:dyDescent="0.25">
      <c r="A763" s="8" t="str" cm="1">
        <f t="array" aca="1" ref="A763" ca="1">IF(INDIRECT("'Student_Record 1'!A" &amp; ROW())="", "", INDIRECT("'Student_Record 1'!A" &amp; ROW()))</f>
        <v/>
      </c>
      <c r="B763" s="8" t="str" cm="1">
        <f t="array" aca="1" ref="B763" ca="1">IF(INDIRECT("'Student_Record 1'!C" &amp; ROW())="", "", INDIRECT("'Student_Record 1'!C" &amp; ROW()))</f>
        <v/>
      </c>
      <c r="C763" s="8" t="str" cm="1">
        <f t="array" aca="1" ref="C763" ca="1">IF(INDIRECT("'Student_Record 1'!E" &amp; ROW())="", "", INDIRECT("'Student_Record 1'!E" &amp; ROW()))</f>
        <v/>
      </c>
      <c r="D763" s="8" t="str" cm="1">
        <f t="array" aca="1" ref="D763" ca="1">IF(INDIRECT("'Student_Record 1'!G" &amp; ROW())="", "", INDIRECT("'Student_Record 1'!G" &amp; ROW()))</f>
        <v/>
      </c>
      <c r="E763" s="8" t="str" cm="1">
        <f t="array" aca="1" ref="E763" ca="1">IF(INDIRECT("'Student_Record 1'!I" &amp; ROW())="", "", INDIRECT("'Student_Record 1'!I" &amp; ROW()))</f>
        <v/>
      </c>
      <c r="F763" s="8" t="str" cm="1">
        <f t="array" aca="1" ref="F763" ca="1">IF(INDIRECT("'Student_Record 1'!O" &amp; ROW())="", "", INDIRECT("'Student_Record 1'!O" &amp; ROW()))</f>
        <v/>
      </c>
      <c r="G763" s="11"/>
      <c r="I763" s="11"/>
      <c r="J763" s="11"/>
      <c r="K763" s="11"/>
      <c r="L763" s="11"/>
      <c r="M763" s="11"/>
      <c r="N763" s="11"/>
      <c r="O763" s="11"/>
      <c r="P763" s="11"/>
      <c r="Q763" s="11"/>
    </row>
    <row r="764" spans="1:17" x14ac:dyDescent="0.25">
      <c r="A764" s="8" t="str" cm="1">
        <f t="array" aca="1" ref="A764" ca="1">IF(INDIRECT("'Student_Record 1'!A" &amp; ROW())="", "", INDIRECT("'Student_Record 1'!A" &amp; ROW()))</f>
        <v/>
      </c>
      <c r="B764" s="8" t="str" cm="1">
        <f t="array" aca="1" ref="B764" ca="1">IF(INDIRECT("'Student_Record 1'!C" &amp; ROW())="", "", INDIRECT("'Student_Record 1'!C" &amp; ROW()))</f>
        <v/>
      </c>
      <c r="C764" s="8" t="str" cm="1">
        <f t="array" aca="1" ref="C764" ca="1">IF(INDIRECT("'Student_Record 1'!E" &amp; ROW())="", "", INDIRECT("'Student_Record 1'!E" &amp; ROW()))</f>
        <v/>
      </c>
      <c r="D764" s="8" t="str" cm="1">
        <f t="array" aca="1" ref="D764" ca="1">IF(INDIRECT("'Student_Record 1'!G" &amp; ROW())="", "", INDIRECT("'Student_Record 1'!G" &amp; ROW()))</f>
        <v/>
      </c>
      <c r="E764" s="8" t="str" cm="1">
        <f t="array" aca="1" ref="E764" ca="1">IF(INDIRECT("'Student_Record 1'!I" &amp; ROW())="", "", INDIRECT("'Student_Record 1'!I" &amp; ROW()))</f>
        <v/>
      </c>
      <c r="F764" s="8" t="str" cm="1">
        <f t="array" aca="1" ref="F764" ca="1">IF(INDIRECT("'Student_Record 1'!O" &amp; ROW())="", "", INDIRECT("'Student_Record 1'!O" &amp; ROW()))</f>
        <v/>
      </c>
      <c r="G764" s="11"/>
      <c r="I764" s="11"/>
      <c r="J764" s="11"/>
      <c r="K764" s="11"/>
      <c r="L764" s="11"/>
      <c r="M764" s="11"/>
      <c r="N764" s="11"/>
      <c r="O764" s="11"/>
      <c r="P764" s="11"/>
      <c r="Q764" s="11"/>
    </row>
    <row r="765" spans="1:17" x14ac:dyDescent="0.25">
      <c r="A765" s="8" t="str" cm="1">
        <f t="array" aca="1" ref="A765" ca="1">IF(INDIRECT("'Student_Record 1'!A" &amp; ROW())="", "", INDIRECT("'Student_Record 1'!A" &amp; ROW()))</f>
        <v/>
      </c>
      <c r="B765" s="8" t="str" cm="1">
        <f t="array" aca="1" ref="B765" ca="1">IF(INDIRECT("'Student_Record 1'!C" &amp; ROW())="", "", INDIRECT("'Student_Record 1'!C" &amp; ROW()))</f>
        <v/>
      </c>
      <c r="C765" s="8" t="str" cm="1">
        <f t="array" aca="1" ref="C765" ca="1">IF(INDIRECT("'Student_Record 1'!E" &amp; ROW())="", "", INDIRECT("'Student_Record 1'!E" &amp; ROW()))</f>
        <v/>
      </c>
      <c r="D765" s="8" t="str" cm="1">
        <f t="array" aca="1" ref="D765" ca="1">IF(INDIRECT("'Student_Record 1'!G" &amp; ROW())="", "", INDIRECT("'Student_Record 1'!G" &amp; ROW()))</f>
        <v/>
      </c>
      <c r="E765" s="8" t="str" cm="1">
        <f t="array" aca="1" ref="E765" ca="1">IF(INDIRECT("'Student_Record 1'!I" &amp; ROW())="", "", INDIRECT("'Student_Record 1'!I" &amp; ROW()))</f>
        <v/>
      </c>
      <c r="F765" s="8" t="str" cm="1">
        <f t="array" aca="1" ref="F765" ca="1">IF(INDIRECT("'Student_Record 1'!O" &amp; ROW())="", "", INDIRECT("'Student_Record 1'!O" &amp; ROW()))</f>
        <v/>
      </c>
      <c r="G765" s="11"/>
      <c r="I765" s="11"/>
      <c r="J765" s="11"/>
      <c r="K765" s="11"/>
      <c r="L765" s="11"/>
      <c r="M765" s="11"/>
      <c r="N765" s="11"/>
      <c r="O765" s="11"/>
      <c r="P765" s="11"/>
      <c r="Q765" s="11"/>
    </row>
    <row r="766" spans="1:17" x14ac:dyDescent="0.25">
      <c r="A766" s="8" t="str" cm="1">
        <f t="array" aca="1" ref="A766" ca="1">IF(INDIRECT("'Student_Record 1'!A" &amp; ROW())="", "", INDIRECT("'Student_Record 1'!A" &amp; ROW()))</f>
        <v/>
      </c>
      <c r="B766" s="8" t="str" cm="1">
        <f t="array" aca="1" ref="B766" ca="1">IF(INDIRECT("'Student_Record 1'!C" &amp; ROW())="", "", INDIRECT("'Student_Record 1'!C" &amp; ROW()))</f>
        <v/>
      </c>
      <c r="C766" s="8" t="str" cm="1">
        <f t="array" aca="1" ref="C766" ca="1">IF(INDIRECT("'Student_Record 1'!E" &amp; ROW())="", "", INDIRECT("'Student_Record 1'!E" &amp; ROW()))</f>
        <v/>
      </c>
      <c r="D766" s="8" t="str" cm="1">
        <f t="array" aca="1" ref="D766" ca="1">IF(INDIRECT("'Student_Record 1'!G" &amp; ROW())="", "", INDIRECT("'Student_Record 1'!G" &amp; ROW()))</f>
        <v/>
      </c>
      <c r="E766" s="8" t="str" cm="1">
        <f t="array" aca="1" ref="E766" ca="1">IF(INDIRECT("'Student_Record 1'!I" &amp; ROW())="", "", INDIRECT("'Student_Record 1'!I" &amp; ROW()))</f>
        <v/>
      </c>
      <c r="F766" s="8" t="str" cm="1">
        <f t="array" aca="1" ref="F766" ca="1">IF(INDIRECT("'Student_Record 1'!O" &amp; ROW())="", "", INDIRECT("'Student_Record 1'!O" &amp; ROW()))</f>
        <v/>
      </c>
      <c r="G766" s="11"/>
      <c r="I766" s="11"/>
      <c r="J766" s="11"/>
      <c r="K766" s="11"/>
      <c r="L766" s="11"/>
      <c r="M766" s="11"/>
      <c r="N766" s="11"/>
      <c r="O766" s="11"/>
      <c r="P766" s="11"/>
      <c r="Q766" s="11"/>
    </row>
    <row r="767" spans="1:17" x14ac:dyDescent="0.25">
      <c r="A767" s="8" t="str" cm="1">
        <f t="array" aca="1" ref="A767" ca="1">IF(INDIRECT("'Student_Record 1'!A" &amp; ROW())="", "", INDIRECT("'Student_Record 1'!A" &amp; ROW()))</f>
        <v/>
      </c>
      <c r="B767" s="8" t="str" cm="1">
        <f t="array" aca="1" ref="B767" ca="1">IF(INDIRECT("'Student_Record 1'!C" &amp; ROW())="", "", INDIRECT("'Student_Record 1'!C" &amp; ROW()))</f>
        <v/>
      </c>
      <c r="C767" s="8" t="str" cm="1">
        <f t="array" aca="1" ref="C767" ca="1">IF(INDIRECT("'Student_Record 1'!E" &amp; ROW())="", "", INDIRECT("'Student_Record 1'!E" &amp; ROW()))</f>
        <v/>
      </c>
      <c r="D767" s="8" t="str" cm="1">
        <f t="array" aca="1" ref="D767" ca="1">IF(INDIRECT("'Student_Record 1'!G" &amp; ROW())="", "", INDIRECT("'Student_Record 1'!G" &amp; ROW()))</f>
        <v/>
      </c>
      <c r="E767" s="8" t="str" cm="1">
        <f t="array" aca="1" ref="E767" ca="1">IF(INDIRECT("'Student_Record 1'!I" &amp; ROW())="", "", INDIRECT("'Student_Record 1'!I" &amp; ROW()))</f>
        <v/>
      </c>
      <c r="F767" s="8" t="str" cm="1">
        <f t="array" aca="1" ref="F767" ca="1">IF(INDIRECT("'Student_Record 1'!O" &amp; ROW())="", "", INDIRECT("'Student_Record 1'!O" &amp; ROW()))</f>
        <v/>
      </c>
      <c r="G767" s="11"/>
      <c r="I767" s="11"/>
      <c r="J767" s="11"/>
      <c r="K767" s="11"/>
      <c r="L767" s="11"/>
      <c r="M767" s="11"/>
      <c r="N767" s="11"/>
      <c r="O767" s="11"/>
      <c r="P767" s="11"/>
      <c r="Q767" s="11"/>
    </row>
    <row r="768" spans="1:17" x14ac:dyDescent="0.25">
      <c r="A768" s="8" t="str" cm="1">
        <f t="array" aca="1" ref="A768" ca="1">IF(INDIRECT("'Student_Record 1'!A" &amp; ROW())="", "", INDIRECT("'Student_Record 1'!A" &amp; ROW()))</f>
        <v/>
      </c>
      <c r="B768" s="8" t="str" cm="1">
        <f t="array" aca="1" ref="B768" ca="1">IF(INDIRECT("'Student_Record 1'!C" &amp; ROW())="", "", INDIRECT("'Student_Record 1'!C" &amp; ROW()))</f>
        <v/>
      </c>
      <c r="C768" s="8" t="str" cm="1">
        <f t="array" aca="1" ref="C768" ca="1">IF(INDIRECT("'Student_Record 1'!E" &amp; ROW())="", "", INDIRECT("'Student_Record 1'!E" &amp; ROW()))</f>
        <v/>
      </c>
      <c r="D768" s="8" t="str" cm="1">
        <f t="array" aca="1" ref="D768" ca="1">IF(INDIRECT("'Student_Record 1'!G" &amp; ROW())="", "", INDIRECT("'Student_Record 1'!G" &amp; ROW()))</f>
        <v/>
      </c>
      <c r="E768" s="8" t="str" cm="1">
        <f t="array" aca="1" ref="E768" ca="1">IF(INDIRECT("'Student_Record 1'!I" &amp; ROW())="", "", INDIRECT("'Student_Record 1'!I" &amp; ROW()))</f>
        <v/>
      </c>
      <c r="F768" s="8" t="str" cm="1">
        <f t="array" aca="1" ref="F768" ca="1">IF(INDIRECT("'Student_Record 1'!O" &amp; ROW())="", "", INDIRECT("'Student_Record 1'!O" &amp; ROW()))</f>
        <v/>
      </c>
      <c r="G768" s="11"/>
      <c r="I768" s="11"/>
      <c r="J768" s="11"/>
      <c r="K768" s="11"/>
      <c r="L768" s="11"/>
      <c r="M768" s="11"/>
      <c r="N768" s="11"/>
      <c r="O768" s="11"/>
      <c r="P768" s="11"/>
      <c r="Q768" s="11"/>
    </row>
    <row r="769" spans="1:17" x14ac:dyDescent="0.25">
      <c r="A769" s="8" t="str" cm="1">
        <f t="array" aca="1" ref="A769" ca="1">IF(INDIRECT("'Student_Record 1'!A" &amp; ROW())="", "", INDIRECT("'Student_Record 1'!A" &amp; ROW()))</f>
        <v/>
      </c>
      <c r="B769" s="8" t="str" cm="1">
        <f t="array" aca="1" ref="B769" ca="1">IF(INDIRECT("'Student_Record 1'!C" &amp; ROW())="", "", INDIRECT("'Student_Record 1'!C" &amp; ROW()))</f>
        <v/>
      </c>
      <c r="C769" s="8" t="str" cm="1">
        <f t="array" aca="1" ref="C769" ca="1">IF(INDIRECT("'Student_Record 1'!E" &amp; ROW())="", "", INDIRECT("'Student_Record 1'!E" &amp; ROW()))</f>
        <v/>
      </c>
      <c r="D769" s="8" t="str" cm="1">
        <f t="array" aca="1" ref="D769" ca="1">IF(INDIRECT("'Student_Record 1'!G" &amp; ROW())="", "", INDIRECT("'Student_Record 1'!G" &amp; ROW()))</f>
        <v/>
      </c>
      <c r="E769" s="8" t="str" cm="1">
        <f t="array" aca="1" ref="E769" ca="1">IF(INDIRECT("'Student_Record 1'!I" &amp; ROW())="", "", INDIRECT("'Student_Record 1'!I" &amp; ROW()))</f>
        <v/>
      </c>
      <c r="F769" s="8" t="str" cm="1">
        <f t="array" aca="1" ref="F769" ca="1">IF(INDIRECT("'Student_Record 1'!O" &amp; ROW())="", "", INDIRECT("'Student_Record 1'!O" &amp; ROW()))</f>
        <v/>
      </c>
      <c r="G769" s="11"/>
      <c r="I769" s="11"/>
      <c r="J769" s="11"/>
      <c r="K769" s="11"/>
      <c r="L769" s="11"/>
      <c r="M769" s="11"/>
      <c r="N769" s="11"/>
      <c r="O769" s="11"/>
      <c r="P769" s="11"/>
      <c r="Q769" s="11"/>
    </row>
    <row r="770" spans="1:17" x14ac:dyDescent="0.25">
      <c r="A770" s="8" t="str" cm="1">
        <f t="array" aca="1" ref="A770" ca="1">IF(INDIRECT("'Student_Record 1'!A" &amp; ROW())="", "", INDIRECT("'Student_Record 1'!A" &amp; ROW()))</f>
        <v/>
      </c>
      <c r="B770" s="8" t="str" cm="1">
        <f t="array" aca="1" ref="B770" ca="1">IF(INDIRECT("'Student_Record 1'!C" &amp; ROW())="", "", INDIRECT("'Student_Record 1'!C" &amp; ROW()))</f>
        <v/>
      </c>
      <c r="C770" s="8" t="str" cm="1">
        <f t="array" aca="1" ref="C770" ca="1">IF(INDIRECT("'Student_Record 1'!E" &amp; ROW())="", "", INDIRECT("'Student_Record 1'!E" &amp; ROW()))</f>
        <v/>
      </c>
      <c r="D770" s="8" t="str" cm="1">
        <f t="array" aca="1" ref="D770" ca="1">IF(INDIRECT("'Student_Record 1'!G" &amp; ROW())="", "", INDIRECT("'Student_Record 1'!G" &amp; ROW()))</f>
        <v/>
      </c>
      <c r="E770" s="8" t="str" cm="1">
        <f t="array" aca="1" ref="E770" ca="1">IF(INDIRECT("'Student_Record 1'!I" &amp; ROW())="", "", INDIRECT("'Student_Record 1'!I" &amp; ROW()))</f>
        <v/>
      </c>
      <c r="F770" s="8" t="str" cm="1">
        <f t="array" aca="1" ref="F770" ca="1">IF(INDIRECT("'Student_Record 1'!O" &amp; ROW())="", "", INDIRECT("'Student_Record 1'!O" &amp; ROW()))</f>
        <v/>
      </c>
      <c r="G770" s="11"/>
      <c r="I770" s="11"/>
      <c r="J770" s="11"/>
      <c r="K770" s="11"/>
      <c r="L770" s="11"/>
      <c r="M770" s="11"/>
      <c r="N770" s="11"/>
      <c r="O770" s="11"/>
      <c r="P770" s="11"/>
      <c r="Q770" s="11"/>
    </row>
    <row r="771" spans="1:17" x14ac:dyDescent="0.25">
      <c r="A771" s="8" t="str" cm="1">
        <f t="array" aca="1" ref="A771" ca="1">IF(INDIRECT("'Student_Record 1'!A" &amp; ROW())="", "", INDIRECT("'Student_Record 1'!A" &amp; ROW()))</f>
        <v/>
      </c>
      <c r="B771" s="8" t="str" cm="1">
        <f t="array" aca="1" ref="B771" ca="1">IF(INDIRECT("'Student_Record 1'!C" &amp; ROW())="", "", INDIRECT("'Student_Record 1'!C" &amp; ROW()))</f>
        <v/>
      </c>
      <c r="C771" s="8" t="str" cm="1">
        <f t="array" aca="1" ref="C771" ca="1">IF(INDIRECT("'Student_Record 1'!E" &amp; ROW())="", "", INDIRECT("'Student_Record 1'!E" &amp; ROW()))</f>
        <v/>
      </c>
      <c r="D771" s="8" t="str" cm="1">
        <f t="array" aca="1" ref="D771" ca="1">IF(INDIRECT("'Student_Record 1'!G" &amp; ROW())="", "", INDIRECT("'Student_Record 1'!G" &amp; ROW()))</f>
        <v/>
      </c>
      <c r="E771" s="8" t="str" cm="1">
        <f t="array" aca="1" ref="E771" ca="1">IF(INDIRECT("'Student_Record 1'!I" &amp; ROW())="", "", INDIRECT("'Student_Record 1'!I" &amp; ROW()))</f>
        <v/>
      </c>
      <c r="F771" s="8" t="str" cm="1">
        <f t="array" aca="1" ref="F771" ca="1">IF(INDIRECT("'Student_Record 1'!O" &amp; ROW())="", "", INDIRECT("'Student_Record 1'!O" &amp; ROW()))</f>
        <v/>
      </c>
      <c r="G771" s="11"/>
      <c r="I771" s="11"/>
      <c r="J771" s="11"/>
      <c r="K771" s="11"/>
      <c r="L771" s="11"/>
      <c r="M771" s="11"/>
      <c r="N771" s="11"/>
      <c r="O771" s="11"/>
      <c r="P771" s="11"/>
      <c r="Q771" s="11"/>
    </row>
    <row r="772" spans="1:17" x14ac:dyDescent="0.25">
      <c r="A772" s="8" t="str" cm="1">
        <f t="array" aca="1" ref="A772" ca="1">IF(INDIRECT("'Student_Record 1'!A" &amp; ROW())="", "", INDIRECT("'Student_Record 1'!A" &amp; ROW()))</f>
        <v/>
      </c>
      <c r="B772" s="8" t="str" cm="1">
        <f t="array" aca="1" ref="B772" ca="1">IF(INDIRECT("'Student_Record 1'!C" &amp; ROW())="", "", INDIRECT("'Student_Record 1'!C" &amp; ROW()))</f>
        <v/>
      </c>
      <c r="C772" s="8" t="str" cm="1">
        <f t="array" aca="1" ref="C772" ca="1">IF(INDIRECT("'Student_Record 1'!E" &amp; ROW())="", "", INDIRECT("'Student_Record 1'!E" &amp; ROW()))</f>
        <v/>
      </c>
      <c r="D772" s="8" t="str" cm="1">
        <f t="array" aca="1" ref="D772" ca="1">IF(INDIRECT("'Student_Record 1'!G" &amp; ROW())="", "", INDIRECT("'Student_Record 1'!G" &amp; ROW()))</f>
        <v/>
      </c>
      <c r="E772" s="8" t="str" cm="1">
        <f t="array" aca="1" ref="E772" ca="1">IF(INDIRECT("'Student_Record 1'!I" &amp; ROW())="", "", INDIRECT("'Student_Record 1'!I" &amp; ROW()))</f>
        <v/>
      </c>
      <c r="F772" s="8" t="str" cm="1">
        <f t="array" aca="1" ref="F772" ca="1">IF(INDIRECT("'Student_Record 1'!O" &amp; ROW())="", "", INDIRECT("'Student_Record 1'!O" &amp; ROW()))</f>
        <v/>
      </c>
      <c r="G772" s="11"/>
      <c r="I772" s="11"/>
      <c r="J772" s="11"/>
      <c r="K772" s="11"/>
      <c r="L772" s="11"/>
      <c r="M772" s="11"/>
      <c r="N772" s="11"/>
      <c r="O772" s="11"/>
      <c r="P772" s="11"/>
      <c r="Q772" s="11"/>
    </row>
    <row r="773" spans="1:17" x14ac:dyDescent="0.25">
      <c r="A773" s="8" t="str" cm="1">
        <f t="array" aca="1" ref="A773" ca="1">IF(INDIRECT("'Student_Record 1'!A" &amp; ROW())="", "", INDIRECT("'Student_Record 1'!A" &amp; ROW()))</f>
        <v/>
      </c>
      <c r="B773" s="8" t="str" cm="1">
        <f t="array" aca="1" ref="B773" ca="1">IF(INDIRECT("'Student_Record 1'!C" &amp; ROW())="", "", INDIRECT("'Student_Record 1'!C" &amp; ROW()))</f>
        <v/>
      </c>
      <c r="C773" s="8" t="str" cm="1">
        <f t="array" aca="1" ref="C773" ca="1">IF(INDIRECT("'Student_Record 1'!E" &amp; ROW())="", "", INDIRECT("'Student_Record 1'!E" &amp; ROW()))</f>
        <v/>
      </c>
      <c r="D773" s="8" t="str" cm="1">
        <f t="array" aca="1" ref="D773" ca="1">IF(INDIRECT("'Student_Record 1'!G" &amp; ROW())="", "", INDIRECT("'Student_Record 1'!G" &amp; ROW()))</f>
        <v/>
      </c>
      <c r="E773" s="8" t="str" cm="1">
        <f t="array" aca="1" ref="E773" ca="1">IF(INDIRECT("'Student_Record 1'!I" &amp; ROW())="", "", INDIRECT("'Student_Record 1'!I" &amp; ROW()))</f>
        <v/>
      </c>
      <c r="F773" s="8" t="str" cm="1">
        <f t="array" aca="1" ref="F773" ca="1">IF(INDIRECT("'Student_Record 1'!O" &amp; ROW())="", "", INDIRECT("'Student_Record 1'!O" &amp; ROW()))</f>
        <v/>
      </c>
      <c r="G773" s="11"/>
      <c r="I773" s="11"/>
      <c r="J773" s="11"/>
      <c r="K773" s="11"/>
      <c r="L773" s="11"/>
      <c r="M773" s="11"/>
      <c r="N773" s="11"/>
      <c r="O773" s="11"/>
      <c r="P773" s="11"/>
      <c r="Q773" s="11"/>
    </row>
    <row r="774" spans="1:17" x14ac:dyDescent="0.25">
      <c r="A774" s="8" t="str" cm="1">
        <f t="array" aca="1" ref="A774" ca="1">IF(INDIRECT("'Student_Record 1'!A" &amp; ROW())="", "", INDIRECT("'Student_Record 1'!A" &amp; ROW()))</f>
        <v/>
      </c>
      <c r="B774" s="8" t="str" cm="1">
        <f t="array" aca="1" ref="B774" ca="1">IF(INDIRECT("'Student_Record 1'!C" &amp; ROW())="", "", INDIRECT("'Student_Record 1'!C" &amp; ROW()))</f>
        <v/>
      </c>
      <c r="C774" s="8" t="str" cm="1">
        <f t="array" aca="1" ref="C774" ca="1">IF(INDIRECT("'Student_Record 1'!E" &amp; ROW())="", "", INDIRECT("'Student_Record 1'!E" &amp; ROW()))</f>
        <v/>
      </c>
      <c r="D774" s="8" t="str" cm="1">
        <f t="array" aca="1" ref="D774" ca="1">IF(INDIRECT("'Student_Record 1'!G" &amp; ROW())="", "", INDIRECT("'Student_Record 1'!G" &amp; ROW()))</f>
        <v/>
      </c>
      <c r="E774" s="8" t="str" cm="1">
        <f t="array" aca="1" ref="E774" ca="1">IF(INDIRECT("'Student_Record 1'!I" &amp; ROW())="", "", INDIRECT("'Student_Record 1'!I" &amp; ROW()))</f>
        <v/>
      </c>
      <c r="F774" s="8" t="str" cm="1">
        <f t="array" aca="1" ref="F774" ca="1">IF(INDIRECT("'Student_Record 1'!O" &amp; ROW())="", "", INDIRECT("'Student_Record 1'!O" &amp; ROW()))</f>
        <v/>
      </c>
      <c r="G774" s="11"/>
      <c r="I774" s="11"/>
      <c r="J774" s="11"/>
      <c r="K774" s="11"/>
      <c r="L774" s="11"/>
      <c r="M774" s="11"/>
      <c r="N774" s="11"/>
      <c r="O774" s="11"/>
      <c r="P774" s="11"/>
      <c r="Q774" s="11"/>
    </row>
    <row r="775" spans="1:17" x14ac:dyDescent="0.25">
      <c r="A775" s="8" t="str" cm="1">
        <f t="array" aca="1" ref="A775" ca="1">IF(INDIRECT("'Student_Record 1'!A" &amp; ROW())="", "", INDIRECT("'Student_Record 1'!A" &amp; ROW()))</f>
        <v/>
      </c>
      <c r="B775" s="8" t="str" cm="1">
        <f t="array" aca="1" ref="B775" ca="1">IF(INDIRECT("'Student_Record 1'!C" &amp; ROW())="", "", INDIRECT("'Student_Record 1'!C" &amp; ROW()))</f>
        <v/>
      </c>
      <c r="C775" s="8" t="str" cm="1">
        <f t="array" aca="1" ref="C775" ca="1">IF(INDIRECT("'Student_Record 1'!E" &amp; ROW())="", "", INDIRECT("'Student_Record 1'!E" &amp; ROW()))</f>
        <v/>
      </c>
      <c r="D775" s="8" t="str" cm="1">
        <f t="array" aca="1" ref="D775" ca="1">IF(INDIRECT("'Student_Record 1'!G" &amp; ROW())="", "", INDIRECT("'Student_Record 1'!G" &amp; ROW()))</f>
        <v/>
      </c>
      <c r="E775" s="8" t="str" cm="1">
        <f t="array" aca="1" ref="E775" ca="1">IF(INDIRECT("'Student_Record 1'!I" &amp; ROW())="", "", INDIRECT("'Student_Record 1'!I" &amp; ROW()))</f>
        <v/>
      </c>
      <c r="F775" s="8" t="str" cm="1">
        <f t="array" aca="1" ref="F775" ca="1">IF(INDIRECT("'Student_Record 1'!O" &amp; ROW())="", "", INDIRECT("'Student_Record 1'!O" &amp; ROW()))</f>
        <v/>
      </c>
      <c r="G775" s="11"/>
      <c r="I775" s="11"/>
      <c r="J775" s="11"/>
      <c r="K775" s="11"/>
      <c r="L775" s="11"/>
      <c r="M775" s="11"/>
      <c r="N775" s="11"/>
      <c r="O775" s="11"/>
      <c r="P775" s="11"/>
      <c r="Q775" s="11"/>
    </row>
    <row r="776" spans="1:17" x14ac:dyDescent="0.25">
      <c r="A776" s="8" t="str" cm="1">
        <f t="array" aca="1" ref="A776" ca="1">IF(INDIRECT("'Student_Record 1'!A" &amp; ROW())="", "", INDIRECT("'Student_Record 1'!A" &amp; ROW()))</f>
        <v/>
      </c>
      <c r="B776" s="8" t="str" cm="1">
        <f t="array" aca="1" ref="B776" ca="1">IF(INDIRECT("'Student_Record 1'!C" &amp; ROW())="", "", INDIRECT("'Student_Record 1'!C" &amp; ROW()))</f>
        <v/>
      </c>
      <c r="C776" s="8" t="str" cm="1">
        <f t="array" aca="1" ref="C776" ca="1">IF(INDIRECT("'Student_Record 1'!E" &amp; ROW())="", "", INDIRECT("'Student_Record 1'!E" &amp; ROW()))</f>
        <v/>
      </c>
      <c r="D776" s="8" t="str" cm="1">
        <f t="array" aca="1" ref="D776" ca="1">IF(INDIRECT("'Student_Record 1'!G" &amp; ROW())="", "", INDIRECT("'Student_Record 1'!G" &amp; ROW()))</f>
        <v/>
      </c>
      <c r="E776" s="8" t="str" cm="1">
        <f t="array" aca="1" ref="E776" ca="1">IF(INDIRECT("'Student_Record 1'!I" &amp; ROW())="", "", INDIRECT("'Student_Record 1'!I" &amp; ROW()))</f>
        <v/>
      </c>
      <c r="F776" s="8" t="str" cm="1">
        <f t="array" aca="1" ref="F776" ca="1">IF(INDIRECT("'Student_Record 1'!O" &amp; ROW())="", "", INDIRECT("'Student_Record 1'!O" &amp; ROW()))</f>
        <v/>
      </c>
      <c r="G776" s="11"/>
      <c r="I776" s="11"/>
      <c r="J776" s="11"/>
      <c r="K776" s="11"/>
      <c r="L776" s="11"/>
      <c r="M776" s="11"/>
      <c r="N776" s="11"/>
      <c r="O776" s="11"/>
      <c r="P776" s="11"/>
      <c r="Q776" s="11"/>
    </row>
    <row r="777" spans="1:17" x14ac:dyDescent="0.25">
      <c r="A777" s="8" t="str" cm="1">
        <f t="array" aca="1" ref="A777" ca="1">IF(INDIRECT("'Student_Record 1'!A" &amp; ROW())="", "", INDIRECT("'Student_Record 1'!A" &amp; ROW()))</f>
        <v/>
      </c>
      <c r="B777" s="8" t="str" cm="1">
        <f t="array" aca="1" ref="B777" ca="1">IF(INDIRECT("'Student_Record 1'!C" &amp; ROW())="", "", INDIRECT("'Student_Record 1'!C" &amp; ROW()))</f>
        <v/>
      </c>
      <c r="C777" s="8" t="str" cm="1">
        <f t="array" aca="1" ref="C777" ca="1">IF(INDIRECT("'Student_Record 1'!E" &amp; ROW())="", "", INDIRECT("'Student_Record 1'!E" &amp; ROW()))</f>
        <v/>
      </c>
      <c r="D777" s="8" t="str" cm="1">
        <f t="array" aca="1" ref="D777" ca="1">IF(INDIRECT("'Student_Record 1'!G" &amp; ROW())="", "", INDIRECT("'Student_Record 1'!G" &amp; ROW()))</f>
        <v/>
      </c>
      <c r="E777" s="8" t="str" cm="1">
        <f t="array" aca="1" ref="E777" ca="1">IF(INDIRECT("'Student_Record 1'!I" &amp; ROW())="", "", INDIRECT("'Student_Record 1'!I" &amp; ROW()))</f>
        <v/>
      </c>
      <c r="F777" s="8" t="str" cm="1">
        <f t="array" aca="1" ref="F777" ca="1">IF(INDIRECT("'Student_Record 1'!O" &amp; ROW())="", "", INDIRECT("'Student_Record 1'!O" &amp; ROW()))</f>
        <v/>
      </c>
      <c r="G777" s="11"/>
      <c r="I777" s="11"/>
      <c r="J777" s="11"/>
      <c r="K777" s="11"/>
      <c r="L777" s="11"/>
      <c r="M777" s="11"/>
      <c r="N777" s="11"/>
      <c r="O777" s="11"/>
      <c r="P777" s="11"/>
      <c r="Q777" s="11"/>
    </row>
    <row r="778" spans="1:17" x14ac:dyDescent="0.25">
      <c r="A778" s="8" t="str" cm="1">
        <f t="array" aca="1" ref="A778" ca="1">IF(INDIRECT("'Student_Record 1'!A" &amp; ROW())="", "", INDIRECT("'Student_Record 1'!A" &amp; ROW()))</f>
        <v/>
      </c>
      <c r="B778" s="8" t="str" cm="1">
        <f t="array" aca="1" ref="B778" ca="1">IF(INDIRECT("'Student_Record 1'!C" &amp; ROW())="", "", INDIRECT("'Student_Record 1'!C" &amp; ROW()))</f>
        <v/>
      </c>
      <c r="C778" s="8" t="str" cm="1">
        <f t="array" aca="1" ref="C778" ca="1">IF(INDIRECT("'Student_Record 1'!E" &amp; ROW())="", "", INDIRECT("'Student_Record 1'!E" &amp; ROW()))</f>
        <v/>
      </c>
      <c r="D778" s="8" t="str" cm="1">
        <f t="array" aca="1" ref="D778" ca="1">IF(INDIRECT("'Student_Record 1'!G" &amp; ROW())="", "", INDIRECT("'Student_Record 1'!G" &amp; ROW()))</f>
        <v/>
      </c>
      <c r="E778" s="8" t="str" cm="1">
        <f t="array" aca="1" ref="E778" ca="1">IF(INDIRECT("'Student_Record 1'!I" &amp; ROW())="", "", INDIRECT("'Student_Record 1'!I" &amp; ROW()))</f>
        <v/>
      </c>
      <c r="F778" s="8" t="str" cm="1">
        <f t="array" aca="1" ref="F778" ca="1">IF(INDIRECT("'Student_Record 1'!O" &amp; ROW())="", "", INDIRECT("'Student_Record 1'!O" &amp; ROW()))</f>
        <v/>
      </c>
      <c r="G778" s="11"/>
      <c r="I778" s="11"/>
      <c r="J778" s="11"/>
      <c r="K778" s="11"/>
      <c r="L778" s="11"/>
      <c r="M778" s="11"/>
      <c r="N778" s="11"/>
      <c r="O778" s="11"/>
      <c r="P778" s="11"/>
      <c r="Q778" s="11"/>
    </row>
    <row r="779" spans="1:17" x14ac:dyDescent="0.25">
      <c r="A779" s="8" t="str" cm="1">
        <f t="array" aca="1" ref="A779" ca="1">IF(INDIRECT("'Student_Record 1'!A" &amp; ROW())="", "", INDIRECT("'Student_Record 1'!A" &amp; ROW()))</f>
        <v/>
      </c>
      <c r="B779" s="8" t="str" cm="1">
        <f t="array" aca="1" ref="B779" ca="1">IF(INDIRECT("'Student_Record 1'!C" &amp; ROW())="", "", INDIRECT("'Student_Record 1'!C" &amp; ROW()))</f>
        <v/>
      </c>
      <c r="C779" s="8" t="str" cm="1">
        <f t="array" aca="1" ref="C779" ca="1">IF(INDIRECT("'Student_Record 1'!E" &amp; ROW())="", "", INDIRECT("'Student_Record 1'!E" &amp; ROW()))</f>
        <v/>
      </c>
      <c r="D779" s="8" t="str" cm="1">
        <f t="array" aca="1" ref="D779" ca="1">IF(INDIRECT("'Student_Record 1'!G" &amp; ROW())="", "", INDIRECT("'Student_Record 1'!G" &amp; ROW()))</f>
        <v/>
      </c>
      <c r="E779" s="8" t="str" cm="1">
        <f t="array" aca="1" ref="E779" ca="1">IF(INDIRECT("'Student_Record 1'!I" &amp; ROW())="", "", INDIRECT("'Student_Record 1'!I" &amp; ROW()))</f>
        <v/>
      </c>
      <c r="F779" s="8" t="str" cm="1">
        <f t="array" aca="1" ref="F779" ca="1">IF(INDIRECT("'Student_Record 1'!O" &amp; ROW())="", "", INDIRECT("'Student_Record 1'!O" &amp; ROW()))</f>
        <v/>
      </c>
      <c r="G779" s="11"/>
      <c r="I779" s="11"/>
      <c r="J779" s="11"/>
      <c r="K779" s="11"/>
      <c r="L779" s="11"/>
      <c r="M779" s="11"/>
      <c r="N779" s="11"/>
      <c r="O779" s="11"/>
      <c r="P779" s="11"/>
      <c r="Q779" s="11"/>
    </row>
    <row r="780" spans="1:17" x14ac:dyDescent="0.25">
      <c r="A780" s="8" t="str" cm="1">
        <f t="array" aca="1" ref="A780" ca="1">IF(INDIRECT("'Student_Record 1'!A" &amp; ROW())="", "", INDIRECT("'Student_Record 1'!A" &amp; ROW()))</f>
        <v/>
      </c>
      <c r="B780" s="8" t="str" cm="1">
        <f t="array" aca="1" ref="B780" ca="1">IF(INDIRECT("'Student_Record 1'!C" &amp; ROW())="", "", INDIRECT("'Student_Record 1'!C" &amp; ROW()))</f>
        <v/>
      </c>
      <c r="C780" s="8" t="str" cm="1">
        <f t="array" aca="1" ref="C780" ca="1">IF(INDIRECT("'Student_Record 1'!E" &amp; ROW())="", "", INDIRECT("'Student_Record 1'!E" &amp; ROW()))</f>
        <v/>
      </c>
      <c r="D780" s="8" t="str" cm="1">
        <f t="array" aca="1" ref="D780" ca="1">IF(INDIRECT("'Student_Record 1'!G" &amp; ROW())="", "", INDIRECT("'Student_Record 1'!G" &amp; ROW()))</f>
        <v/>
      </c>
      <c r="E780" s="8" t="str" cm="1">
        <f t="array" aca="1" ref="E780" ca="1">IF(INDIRECT("'Student_Record 1'!I" &amp; ROW())="", "", INDIRECT("'Student_Record 1'!I" &amp; ROW()))</f>
        <v/>
      </c>
      <c r="F780" s="8" t="str" cm="1">
        <f t="array" aca="1" ref="F780" ca="1">IF(INDIRECT("'Student_Record 1'!O" &amp; ROW())="", "", INDIRECT("'Student_Record 1'!O" &amp; ROW()))</f>
        <v/>
      </c>
      <c r="G780" s="11"/>
      <c r="I780" s="11"/>
      <c r="J780" s="11"/>
      <c r="K780" s="11"/>
      <c r="L780" s="11"/>
      <c r="M780" s="11"/>
      <c r="N780" s="11"/>
      <c r="O780" s="11"/>
      <c r="P780" s="11"/>
      <c r="Q780" s="11"/>
    </row>
    <row r="781" spans="1:17" x14ac:dyDescent="0.25">
      <c r="A781" s="8" t="str" cm="1">
        <f t="array" aca="1" ref="A781" ca="1">IF(INDIRECT("'Student_Record 1'!A" &amp; ROW())="", "", INDIRECT("'Student_Record 1'!A" &amp; ROW()))</f>
        <v/>
      </c>
      <c r="B781" s="8" t="str" cm="1">
        <f t="array" aca="1" ref="B781" ca="1">IF(INDIRECT("'Student_Record 1'!C" &amp; ROW())="", "", INDIRECT("'Student_Record 1'!C" &amp; ROW()))</f>
        <v/>
      </c>
      <c r="C781" s="8" t="str" cm="1">
        <f t="array" aca="1" ref="C781" ca="1">IF(INDIRECT("'Student_Record 1'!E" &amp; ROW())="", "", INDIRECT("'Student_Record 1'!E" &amp; ROW()))</f>
        <v/>
      </c>
      <c r="D781" s="8" t="str" cm="1">
        <f t="array" aca="1" ref="D781" ca="1">IF(INDIRECT("'Student_Record 1'!G" &amp; ROW())="", "", INDIRECT("'Student_Record 1'!G" &amp; ROW()))</f>
        <v/>
      </c>
      <c r="E781" s="8" t="str" cm="1">
        <f t="array" aca="1" ref="E781" ca="1">IF(INDIRECT("'Student_Record 1'!I" &amp; ROW())="", "", INDIRECT("'Student_Record 1'!I" &amp; ROW()))</f>
        <v/>
      </c>
      <c r="F781" s="8" t="str" cm="1">
        <f t="array" aca="1" ref="F781" ca="1">IF(INDIRECT("'Student_Record 1'!O" &amp; ROW())="", "", INDIRECT("'Student_Record 1'!O" &amp; ROW()))</f>
        <v/>
      </c>
      <c r="G781" s="11"/>
      <c r="I781" s="11"/>
      <c r="J781" s="11"/>
      <c r="K781" s="11"/>
      <c r="L781" s="11"/>
      <c r="M781" s="11"/>
      <c r="N781" s="11"/>
      <c r="O781" s="11"/>
      <c r="P781" s="11"/>
      <c r="Q781" s="11"/>
    </row>
    <row r="782" spans="1:17" x14ac:dyDescent="0.25">
      <c r="A782" s="8" t="str" cm="1">
        <f t="array" aca="1" ref="A782" ca="1">IF(INDIRECT("'Student_Record 1'!A" &amp; ROW())="", "", INDIRECT("'Student_Record 1'!A" &amp; ROW()))</f>
        <v/>
      </c>
      <c r="B782" s="8" t="str" cm="1">
        <f t="array" aca="1" ref="B782" ca="1">IF(INDIRECT("'Student_Record 1'!C" &amp; ROW())="", "", INDIRECT("'Student_Record 1'!C" &amp; ROW()))</f>
        <v/>
      </c>
      <c r="C782" s="8" t="str" cm="1">
        <f t="array" aca="1" ref="C782" ca="1">IF(INDIRECT("'Student_Record 1'!E" &amp; ROW())="", "", INDIRECT("'Student_Record 1'!E" &amp; ROW()))</f>
        <v/>
      </c>
      <c r="D782" s="8" t="str" cm="1">
        <f t="array" aca="1" ref="D782" ca="1">IF(INDIRECT("'Student_Record 1'!G" &amp; ROW())="", "", INDIRECT("'Student_Record 1'!G" &amp; ROW()))</f>
        <v/>
      </c>
      <c r="E782" s="8" t="str" cm="1">
        <f t="array" aca="1" ref="E782" ca="1">IF(INDIRECT("'Student_Record 1'!I" &amp; ROW())="", "", INDIRECT("'Student_Record 1'!I" &amp; ROW()))</f>
        <v/>
      </c>
      <c r="F782" s="8" t="str" cm="1">
        <f t="array" aca="1" ref="F782" ca="1">IF(INDIRECT("'Student_Record 1'!O" &amp; ROW())="", "", INDIRECT("'Student_Record 1'!O" &amp; ROW()))</f>
        <v/>
      </c>
      <c r="G782" s="11"/>
      <c r="I782" s="11"/>
      <c r="J782" s="11"/>
      <c r="K782" s="11"/>
      <c r="L782" s="11"/>
      <c r="M782" s="11"/>
      <c r="N782" s="11"/>
      <c r="O782" s="11"/>
      <c r="P782" s="11"/>
      <c r="Q782" s="11"/>
    </row>
    <row r="783" spans="1:17" x14ac:dyDescent="0.25">
      <c r="A783" s="8" t="str" cm="1">
        <f t="array" aca="1" ref="A783" ca="1">IF(INDIRECT("'Student_Record 1'!A" &amp; ROW())="", "", INDIRECT("'Student_Record 1'!A" &amp; ROW()))</f>
        <v/>
      </c>
      <c r="B783" s="8" t="str" cm="1">
        <f t="array" aca="1" ref="B783" ca="1">IF(INDIRECT("'Student_Record 1'!C" &amp; ROW())="", "", INDIRECT("'Student_Record 1'!C" &amp; ROW()))</f>
        <v/>
      </c>
      <c r="C783" s="8" t="str" cm="1">
        <f t="array" aca="1" ref="C783" ca="1">IF(INDIRECT("'Student_Record 1'!E" &amp; ROW())="", "", INDIRECT("'Student_Record 1'!E" &amp; ROW()))</f>
        <v/>
      </c>
      <c r="D783" s="8" t="str" cm="1">
        <f t="array" aca="1" ref="D783" ca="1">IF(INDIRECT("'Student_Record 1'!G" &amp; ROW())="", "", INDIRECT("'Student_Record 1'!G" &amp; ROW()))</f>
        <v/>
      </c>
      <c r="E783" s="8" t="str" cm="1">
        <f t="array" aca="1" ref="E783" ca="1">IF(INDIRECT("'Student_Record 1'!I" &amp; ROW())="", "", INDIRECT("'Student_Record 1'!I" &amp; ROW()))</f>
        <v/>
      </c>
      <c r="F783" s="8" t="str" cm="1">
        <f t="array" aca="1" ref="F783" ca="1">IF(INDIRECT("'Student_Record 1'!O" &amp; ROW())="", "", INDIRECT("'Student_Record 1'!O" &amp; ROW()))</f>
        <v/>
      </c>
      <c r="G783" s="11"/>
      <c r="I783" s="11"/>
      <c r="J783" s="11"/>
      <c r="K783" s="11"/>
      <c r="L783" s="11"/>
      <c r="M783" s="11"/>
      <c r="N783" s="11"/>
      <c r="O783" s="11"/>
      <c r="P783" s="11"/>
      <c r="Q783" s="11"/>
    </row>
    <row r="784" spans="1:17" x14ac:dyDescent="0.25">
      <c r="A784" s="8" t="str" cm="1">
        <f t="array" aca="1" ref="A784" ca="1">IF(INDIRECT("'Student_Record 1'!A" &amp; ROW())="", "", INDIRECT("'Student_Record 1'!A" &amp; ROW()))</f>
        <v/>
      </c>
      <c r="B784" s="8" t="str" cm="1">
        <f t="array" aca="1" ref="B784" ca="1">IF(INDIRECT("'Student_Record 1'!C" &amp; ROW())="", "", INDIRECT("'Student_Record 1'!C" &amp; ROW()))</f>
        <v/>
      </c>
      <c r="C784" s="8" t="str" cm="1">
        <f t="array" aca="1" ref="C784" ca="1">IF(INDIRECT("'Student_Record 1'!E" &amp; ROW())="", "", INDIRECT("'Student_Record 1'!E" &amp; ROW()))</f>
        <v/>
      </c>
      <c r="D784" s="8" t="str" cm="1">
        <f t="array" aca="1" ref="D784" ca="1">IF(INDIRECT("'Student_Record 1'!G" &amp; ROW())="", "", INDIRECT("'Student_Record 1'!G" &amp; ROW()))</f>
        <v/>
      </c>
      <c r="E784" s="8" t="str" cm="1">
        <f t="array" aca="1" ref="E784" ca="1">IF(INDIRECT("'Student_Record 1'!I" &amp; ROW())="", "", INDIRECT("'Student_Record 1'!I" &amp; ROW()))</f>
        <v/>
      </c>
      <c r="F784" s="8" t="str" cm="1">
        <f t="array" aca="1" ref="F784" ca="1">IF(INDIRECT("'Student_Record 1'!O" &amp; ROW())="", "", INDIRECT("'Student_Record 1'!O" &amp; ROW()))</f>
        <v/>
      </c>
      <c r="G784" s="11"/>
      <c r="I784" s="11"/>
      <c r="J784" s="11"/>
      <c r="K784" s="11"/>
      <c r="L784" s="11"/>
      <c r="M784" s="11"/>
      <c r="N784" s="11"/>
      <c r="O784" s="11"/>
      <c r="P784" s="11"/>
      <c r="Q784" s="11"/>
    </row>
    <row r="785" spans="1:17" x14ac:dyDescent="0.25">
      <c r="A785" s="8" t="str" cm="1">
        <f t="array" aca="1" ref="A785" ca="1">IF(INDIRECT("'Student_Record 1'!A" &amp; ROW())="", "", INDIRECT("'Student_Record 1'!A" &amp; ROW()))</f>
        <v/>
      </c>
      <c r="B785" s="8" t="str" cm="1">
        <f t="array" aca="1" ref="B785" ca="1">IF(INDIRECT("'Student_Record 1'!C" &amp; ROW())="", "", INDIRECT("'Student_Record 1'!C" &amp; ROW()))</f>
        <v/>
      </c>
      <c r="C785" s="8" t="str" cm="1">
        <f t="array" aca="1" ref="C785" ca="1">IF(INDIRECT("'Student_Record 1'!E" &amp; ROW())="", "", INDIRECT("'Student_Record 1'!E" &amp; ROW()))</f>
        <v/>
      </c>
      <c r="D785" s="8" t="str" cm="1">
        <f t="array" aca="1" ref="D785" ca="1">IF(INDIRECT("'Student_Record 1'!G" &amp; ROW())="", "", INDIRECT("'Student_Record 1'!G" &amp; ROW()))</f>
        <v/>
      </c>
      <c r="E785" s="8" t="str" cm="1">
        <f t="array" aca="1" ref="E785" ca="1">IF(INDIRECT("'Student_Record 1'!I" &amp; ROW())="", "", INDIRECT("'Student_Record 1'!I" &amp; ROW()))</f>
        <v/>
      </c>
      <c r="F785" s="8" t="str" cm="1">
        <f t="array" aca="1" ref="F785" ca="1">IF(INDIRECT("'Student_Record 1'!O" &amp; ROW())="", "", INDIRECT("'Student_Record 1'!O" &amp; ROW()))</f>
        <v/>
      </c>
      <c r="G785" s="11"/>
      <c r="I785" s="11"/>
      <c r="J785" s="11"/>
      <c r="K785" s="11"/>
      <c r="L785" s="11"/>
      <c r="M785" s="11"/>
      <c r="N785" s="11"/>
      <c r="O785" s="11"/>
      <c r="P785" s="11"/>
      <c r="Q785" s="11"/>
    </row>
    <row r="786" spans="1:17" x14ac:dyDescent="0.25">
      <c r="A786" s="8" t="str" cm="1">
        <f t="array" aca="1" ref="A786" ca="1">IF(INDIRECT("'Student_Record 1'!A" &amp; ROW())="", "", INDIRECT("'Student_Record 1'!A" &amp; ROW()))</f>
        <v/>
      </c>
      <c r="B786" s="8" t="str" cm="1">
        <f t="array" aca="1" ref="B786" ca="1">IF(INDIRECT("'Student_Record 1'!C" &amp; ROW())="", "", INDIRECT("'Student_Record 1'!C" &amp; ROW()))</f>
        <v/>
      </c>
      <c r="C786" s="8" t="str" cm="1">
        <f t="array" aca="1" ref="C786" ca="1">IF(INDIRECT("'Student_Record 1'!E" &amp; ROW())="", "", INDIRECT("'Student_Record 1'!E" &amp; ROW()))</f>
        <v/>
      </c>
      <c r="D786" s="8" t="str" cm="1">
        <f t="array" aca="1" ref="D786" ca="1">IF(INDIRECT("'Student_Record 1'!G" &amp; ROW())="", "", INDIRECT("'Student_Record 1'!G" &amp; ROW()))</f>
        <v/>
      </c>
      <c r="E786" s="8" t="str" cm="1">
        <f t="array" aca="1" ref="E786" ca="1">IF(INDIRECT("'Student_Record 1'!I" &amp; ROW())="", "", INDIRECT("'Student_Record 1'!I" &amp; ROW()))</f>
        <v/>
      </c>
      <c r="F786" s="8" t="str" cm="1">
        <f t="array" aca="1" ref="F786" ca="1">IF(INDIRECT("'Student_Record 1'!O" &amp; ROW())="", "", INDIRECT("'Student_Record 1'!O" &amp; ROW()))</f>
        <v/>
      </c>
      <c r="G786" s="11"/>
      <c r="I786" s="11"/>
      <c r="J786" s="11"/>
      <c r="K786" s="11"/>
      <c r="L786" s="11"/>
      <c r="M786" s="11"/>
      <c r="N786" s="11"/>
      <c r="O786" s="11"/>
      <c r="P786" s="11"/>
      <c r="Q786" s="11"/>
    </row>
    <row r="787" spans="1:17" x14ac:dyDescent="0.25">
      <c r="A787" s="8" t="str" cm="1">
        <f t="array" aca="1" ref="A787" ca="1">IF(INDIRECT("'Student_Record 1'!A" &amp; ROW())="", "", INDIRECT("'Student_Record 1'!A" &amp; ROW()))</f>
        <v/>
      </c>
      <c r="B787" s="8" t="str" cm="1">
        <f t="array" aca="1" ref="B787" ca="1">IF(INDIRECT("'Student_Record 1'!C" &amp; ROW())="", "", INDIRECT("'Student_Record 1'!C" &amp; ROW()))</f>
        <v/>
      </c>
      <c r="C787" s="8" t="str" cm="1">
        <f t="array" aca="1" ref="C787" ca="1">IF(INDIRECT("'Student_Record 1'!E" &amp; ROW())="", "", INDIRECT("'Student_Record 1'!E" &amp; ROW()))</f>
        <v/>
      </c>
      <c r="D787" s="8" t="str" cm="1">
        <f t="array" aca="1" ref="D787" ca="1">IF(INDIRECT("'Student_Record 1'!G" &amp; ROW())="", "", INDIRECT("'Student_Record 1'!G" &amp; ROW()))</f>
        <v/>
      </c>
      <c r="E787" s="8" t="str" cm="1">
        <f t="array" aca="1" ref="E787" ca="1">IF(INDIRECT("'Student_Record 1'!I" &amp; ROW())="", "", INDIRECT("'Student_Record 1'!I" &amp; ROW()))</f>
        <v/>
      </c>
      <c r="F787" s="8" t="str" cm="1">
        <f t="array" aca="1" ref="F787" ca="1">IF(INDIRECT("'Student_Record 1'!O" &amp; ROW())="", "", INDIRECT("'Student_Record 1'!O" &amp; ROW()))</f>
        <v/>
      </c>
      <c r="G787" s="11"/>
      <c r="I787" s="11"/>
      <c r="J787" s="11"/>
      <c r="K787" s="11"/>
      <c r="L787" s="11"/>
      <c r="M787" s="11"/>
      <c r="N787" s="11"/>
      <c r="O787" s="11"/>
      <c r="P787" s="11"/>
      <c r="Q787" s="11"/>
    </row>
    <row r="788" spans="1:17" x14ac:dyDescent="0.25">
      <c r="A788" s="8" t="str" cm="1">
        <f t="array" aca="1" ref="A788" ca="1">IF(INDIRECT("'Student_Record 1'!A" &amp; ROW())="", "", INDIRECT("'Student_Record 1'!A" &amp; ROW()))</f>
        <v/>
      </c>
      <c r="B788" s="8" t="str" cm="1">
        <f t="array" aca="1" ref="B788" ca="1">IF(INDIRECT("'Student_Record 1'!C" &amp; ROW())="", "", INDIRECT("'Student_Record 1'!C" &amp; ROW()))</f>
        <v/>
      </c>
      <c r="C788" s="8" t="str" cm="1">
        <f t="array" aca="1" ref="C788" ca="1">IF(INDIRECT("'Student_Record 1'!E" &amp; ROW())="", "", INDIRECT("'Student_Record 1'!E" &amp; ROW()))</f>
        <v/>
      </c>
      <c r="D788" s="8" t="str" cm="1">
        <f t="array" aca="1" ref="D788" ca="1">IF(INDIRECT("'Student_Record 1'!G" &amp; ROW())="", "", INDIRECT("'Student_Record 1'!G" &amp; ROW()))</f>
        <v/>
      </c>
      <c r="E788" s="8" t="str" cm="1">
        <f t="array" aca="1" ref="E788" ca="1">IF(INDIRECT("'Student_Record 1'!I" &amp; ROW())="", "", INDIRECT("'Student_Record 1'!I" &amp; ROW()))</f>
        <v/>
      </c>
      <c r="F788" s="8" t="str" cm="1">
        <f t="array" aca="1" ref="F788" ca="1">IF(INDIRECT("'Student_Record 1'!O" &amp; ROW())="", "", INDIRECT("'Student_Record 1'!O" &amp; ROW()))</f>
        <v/>
      </c>
      <c r="G788" s="11"/>
      <c r="I788" s="11"/>
      <c r="J788" s="11"/>
      <c r="K788" s="11"/>
      <c r="L788" s="11"/>
      <c r="M788" s="11"/>
      <c r="N788" s="11"/>
      <c r="O788" s="11"/>
      <c r="P788" s="11"/>
      <c r="Q788" s="11"/>
    </row>
    <row r="789" spans="1:17" x14ac:dyDescent="0.25">
      <c r="A789" s="8" t="str" cm="1">
        <f t="array" aca="1" ref="A789" ca="1">IF(INDIRECT("'Student_Record 1'!A" &amp; ROW())="", "", INDIRECT("'Student_Record 1'!A" &amp; ROW()))</f>
        <v/>
      </c>
      <c r="B789" s="8" t="str" cm="1">
        <f t="array" aca="1" ref="B789" ca="1">IF(INDIRECT("'Student_Record 1'!C" &amp; ROW())="", "", INDIRECT("'Student_Record 1'!C" &amp; ROW()))</f>
        <v/>
      </c>
      <c r="C789" s="8" t="str" cm="1">
        <f t="array" aca="1" ref="C789" ca="1">IF(INDIRECT("'Student_Record 1'!E" &amp; ROW())="", "", INDIRECT("'Student_Record 1'!E" &amp; ROW()))</f>
        <v/>
      </c>
      <c r="D789" s="8" t="str" cm="1">
        <f t="array" aca="1" ref="D789" ca="1">IF(INDIRECT("'Student_Record 1'!G" &amp; ROW())="", "", INDIRECT("'Student_Record 1'!G" &amp; ROW()))</f>
        <v/>
      </c>
      <c r="E789" s="8" t="str" cm="1">
        <f t="array" aca="1" ref="E789" ca="1">IF(INDIRECT("'Student_Record 1'!I" &amp; ROW())="", "", INDIRECT("'Student_Record 1'!I" &amp; ROW()))</f>
        <v/>
      </c>
      <c r="F789" s="8" t="str" cm="1">
        <f t="array" aca="1" ref="F789" ca="1">IF(INDIRECT("'Student_Record 1'!O" &amp; ROW())="", "", INDIRECT("'Student_Record 1'!O" &amp; ROW()))</f>
        <v/>
      </c>
      <c r="G789" s="11"/>
      <c r="I789" s="11"/>
      <c r="J789" s="11"/>
      <c r="K789" s="11"/>
      <c r="L789" s="11"/>
      <c r="M789" s="11"/>
      <c r="N789" s="11"/>
      <c r="O789" s="11"/>
      <c r="P789" s="11"/>
      <c r="Q789" s="11"/>
    </row>
    <row r="790" spans="1:17" x14ac:dyDescent="0.25">
      <c r="A790" s="8" t="str" cm="1">
        <f t="array" aca="1" ref="A790" ca="1">IF(INDIRECT("'Student_Record 1'!A" &amp; ROW())="", "", INDIRECT("'Student_Record 1'!A" &amp; ROW()))</f>
        <v/>
      </c>
      <c r="B790" s="8" t="str" cm="1">
        <f t="array" aca="1" ref="B790" ca="1">IF(INDIRECT("'Student_Record 1'!C" &amp; ROW())="", "", INDIRECT("'Student_Record 1'!C" &amp; ROW()))</f>
        <v/>
      </c>
      <c r="C790" s="8" t="str" cm="1">
        <f t="array" aca="1" ref="C790" ca="1">IF(INDIRECT("'Student_Record 1'!E" &amp; ROW())="", "", INDIRECT("'Student_Record 1'!E" &amp; ROW()))</f>
        <v/>
      </c>
      <c r="D790" s="8" t="str" cm="1">
        <f t="array" aca="1" ref="D790" ca="1">IF(INDIRECT("'Student_Record 1'!G" &amp; ROW())="", "", INDIRECT("'Student_Record 1'!G" &amp; ROW()))</f>
        <v/>
      </c>
      <c r="E790" s="8" t="str" cm="1">
        <f t="array" aca="1" ref="E790" ca="1">IF(INDIRECT("'Student_Record 1'!I" &amp; ROW())="", "", INDIRECT("'Student_Record 1'!I" &amp; ROW()))</f>
        <v/>
      </c>
      <c r="F790" s="8" t="str" cm="1">
        <f t="array" aca="1" ref="F790" ca="1">IF(INDIRECT("'Student_Record 1'!O" &amp; ROW())="", "", INDIRECT("'Student_Record 1'!O" &amp; ROW()))</f>
        <v/>
      </c>
      <c r="G790" s="11"/>
      <c r="I790" s="11"/>
      <c r="J790" s="11"/>
      <c r="K790" s="11"/>
      <c r="L790" s="11"/>
      <c r="M790" s="11"/>
      <c r="N790" s="11"/>
      <c r="O790" s="11"/>
      <c r="P790" s="11"/>
      <c r="Q790" s="11"/>
    </row>
    <row r="791" spans="1:17" x14ac:dyDescent="0.25">
      <c r="A791" s="8" t="str" cm="1">
        <f t="array" aca="1" ref="A791" ca="1">IF(INDIRECT("'Student_Record 1'!A" &amp; ROW())="", "", INDIRECT("'Student_Record 1'!A" &amp; ROW()))</f>
        <v/>
      </c>
      <c r="B791" s="8" t="str" cm="1">
        <f t="array" aca="1" ref="B791" ca="1">IF(INDIRECT("'Student_Record 1'!C" &amp; ROW())="", "", INDIRECT("'Student_Record 1'!C" &amp; ROW()))</f>
        <v/>
      </c>
      <c r="C791" s="8" t="str" cm="1">
        <f t="array" aca="1" ref="C791" ca="1">IF(INDIRECT("'Student_Record 1'!E" &amp; ROW())="", "", INDIRECT("'Student_Record 1'!E" &amp; ROW()))</f>
        <v/>
      </c>
      <c r="D791" s="8" t="str" cm="1">
        <f t="array" aca="1" ref="D791" ca="1">IF(INDIRECT("'Student_Record 1'!G" &amp; ROW())="", "", INDIRECT("'Student_Record 1'!G" &amp; ROW()))</f>
        <v/>
      </c>
      <c r="E791" s="8" t="str" cm="1">
        <f t="array" aca="1" ref="E791" ca="1">IF(INDIRECT("'Student_Record 1'!I" &amp; ROW())="", "", INDIRECT("'Student_Record 1'!I" &amp; ROW()))</f>
        <v/>
      </c>
      <c r="F791" s="8" t="str" cm="1">
        <f t="array" aca="1" ref="F791" ca="1">IF(INDIRECT("'Student_Record 1'!O" &amp; ROW())="", "", INDIRECT("'Student_Record 1'!O" &amp; ROW()))</f>
        <v/>
      </c>
      <c r="G791" s="11"/>
      <c r="I791" s="11"/>
      <c r="J791" s="11"/>
      <c r="K791" s="11"/>
      <c r="L791" s="11"/>
      <c r="M791" s="11"/>
      <c r="N791" s="11"/>
      <c r="O791" s="11"/>
      <c r="P791" s="11"/>
      <c r="Q791" s="11"/>
    </row>
    <row r="792" spans="1:17" x14ac:dyDescent="0.25">
      <c r="A792" s="8" t="str" cm="1">
        <f t="array" aca="1" ref="A792" ca="1">IF(INDIRECT("'Student_Record 1'!A" &amp; ROW())="", "", INDIRECT("'Student_Record 1'!A" &amp; ROW()))</f>
        <v/>
      </c>
      <c r="B792" s="8" t="str" cm="1">
        <f t="array" aca="1" ref="B792" ca="1">IF(INDIRECT("'Student_Record 1'!C" &amp; ROW())="", "", INDIRECT("'Student_Record 1'!C" &amp; ROW()))</f>
        <v/>
      </c>
      <c r="C792" s="8" t="str" cm="1">
        <f t="array" aca="1" ref="C792" ca="1">IF(INDIRECT("'Student_Record 1'!E" &amp; ROW())="", "", INDIRECT("'Student_Record 1'!E" &amp; ROW()))</f>
        <v/>
      </c>
      <c r="D792" s="8" t="str" cm="1">
        <f t="array" aca="1" ref="D792" ca="1">IF(INDIRECT("'Student_Record 1'!G" &amp; ROW())="", "", INDIRECT("'Student_Record 1'!G" &amp; ROW()))</f>
        <v/>
      </c>
      <c r="E792" s="8" t="str" cm="1">
        <f t="array" aca="1" ref="E792" ca="1">IF(INDIRECT("'Student_Record 1'!I" &amp; ROW())="", "", INDIRECT("'Student_Record 1'!I" &amp; ROW()))</f>
        <v/>
      </c>
      <c r="F792" s="8" t="str" cm="1">
        <f t="array" aca="1" ref="F792" ca="1">IF(INDIRECT("'Student_Record 1'!O" &amp; ROW())="", "", INDIRECT("'Student_Record 1'!O" &amp; ROW()))</f>
        <v/>
      </c>
      <c r="G792" s="11"/>
      <c r="I792" s="11"/>
      <c r="J792" s="11"/>
      <c r="K792" s="11"/>
      <c r="L792" s="11"/>
      <c r="M792" s="11"/>
      <c r="N792" s="11"/>
      <c r="O792" s="11"/>
      <c r="P792" s="11"/>
      <c r="Q792" s="11"/>
    </row>
    <row r="793" spans="1:17" x14ac:dyDescent="0.25">
      <c r="A793" s="8" t="str" cm="1">
        <f t="array" aca="1" ref="A793" ca="1">IF(INDIRECT("'Student_Record 1'!A" &amp; ROW())="", "", INDIRECT("'Student_Record 1'!A" &amp; ROW()))</f>
        <v/>
      </c>
      <c r="B793" s="8" t="str" cm="1">
        <f t="array" aca="1" ref="B793" ca="1">IF(INDIRECT("'Student_Record 1'!C" &amp; ROW())="", "", INDIRECT("'Student_Record 1'!C" &amp; ROW()))</f>
        <v/>
      </c>
      <c r="C793" s="8" t="str" cm="1">
        <f t="array" aca="1" ref="C793" ca="1">IF(INDIRECT("'Student_Record 1'!E" &amp; ROW())="", "", INDIRECT("'Student_Record 1'!E" &amp; ROW()))</f>
        <v/>
      </c>
      <c r="D793" s="8" t="str" cm="1">
        <f t="array" aca="1" ref="D793" ca="1">IF(INDIRECT("'Student_Record 1'!G" &amp; ROW())="", "", INDIRECT("'Student_Record 1'!G" &amp; ROW()))</f>
        <v/>
      </c>
      <c r="E793" s="8" t="str" cm="1">
        <f t="array" aca="1" ref="E793" ca="1">IF(INDIRECT("'Student_Record 1'!I" &amp; ROW())="", "", INDIRECT("'Student_Record 1'!I" &amp; ROW()))</f>
        <v/>
      </c>
      <c r="F793" s="8" t="str" cm="1">
        <f t="array" aca="1" ref="F793" ca="1">IF(INDIRECT("'Student_Record 1'!O" &amp; ROW())="", "", INDIRECT("'Student_Record 1'!O" &amp; ROW()))</f>
        <v/>
      </c>
      <c r="G793" s="11"/>
      <c r="I793" s="11"/>
      <c r="J793" s="11"/>
      <c r="K793" s="11"/>
      <c r="L793" s="11"/>
      <c r="M793" s="11"/>
      <c r="N793" s="11"/>
      <c r="O793" s="11"/>
      <c r="P793" s="11"/>
      <c r="Q793" s="11"/>
    </row>
    <row r="794" spans="1:17" x14ac:dyDescent="0.25">
      <c r="A794" s="8" t="str" cm="1">
        <f t="array" aca="1" ref="A794" ca="1">IF(INDIRECT("'Student_Record 1'!A" &amp; ROW())="", "", INDIRECT("'Student_Record 1'!A" &amp; ROW()))</f>
        <v/>
      </c>
      <c r="B794" s="8" t="str" cm="1">
        <f t="array" aca="1" ref="B794" ca="1">IF(INDIRECT("'Student_Record 1'!C" &amp; ROW())="", "", INDIRECT("'Student_Record 1'!C" &amp; ROW()))</f>
        <v/>
      </c>
      <c r="C794" s="8" t="str" cm="1">
        <f t="array" aca="1" ref="C794" ca="1">IF(INDIRECT("'Student_Record 1'!E" &amp; ROW())="", "", INDIRECT("'Student_Record 1'!E" &amp; ROW()))</f>
        <v/>
      </c>
      <c r="D794" s="8" t="str" cm="1">
        <f t="array" aca="1" ref="D794" ca="1">IF(INDIRECT("'Student_Record 1'!G" &amp; ROW())="", "", INDIRECT("'Student_Record 1'!G" &amp; ROW()))</f>
        <v/>
      </c>
      <c r="E794" s="8" t="str" cm="1">
        <f t="array" aca="1" ref="E794" ca="1">IF(INDIRECT("'Student_Record 1'!I" &amp; ROW())="", "", INDIRECT("'Student_Record 1'!I" &amp; ROW()))</f>
        <v/>
      </c>
      <c r="F794" s="8" t="str" cm="1">
        <f t="array" aca="1" ref="F794" ca="1">IF(INDIRECT("'Student_Record 1'!O" &amp; ROW())="", "", INDIRECT("'Student_Record 1'!O" &amp; ROW()))</f>
        <v/>
      </c>
      <c r="G794" s="11"/>
      <c r="I794" s="11"/>
      <c r="J794" s="11"/>
      <c r="K794" s="11"/>
      <c r="L794" s="11"/>
      <c r="M794" s="11"/>
      <c r="N794" s="11"/>
      <c r="O794" s="11"/>
      <c r="P794" s="11"/>
      <c r="Q794" s="11"/>
    </row>
    <row r="795" spans="1:17" x14ac:dyDescent="0.25">
      <c r="A795" s="8" t="str" cm="1">
        <f t="array" aca="1" ref="A795" ca="1">IF(INDIRECT("'Student_Record 1'!A" &amp; ROW())="", "", INDIRECT("'Student_Record 1'!A" &amp; ROW()))</f>
        <v/>
      </c>
      <c r="B795" s="8" t="str" cm="1">
        <f t="array" aca="1" ref="B795" ca="1">IF(INDIRECT("'Student_Record 1'!C" &amp; ROW())="", "", INDIRECT("'Student_Record 1'!C" &amp; ROW()))</f>
        <v/>
      </c>
      <c r="C795" s="8" t="str" cm="1">
        <f t="array" aca="1" ref="C795" ca="1">IF(INDIRECT("'Student_Record 1'!E" &amp; ROW())="", "", INDIRECT("'Student_Record 1'!E" &amp; ROW()))</f>
        <v/>
      </c>
      <c r="D795" s="8" t="str" cm="1">
        <f t="array" aca="1" ref="D795" ca="1">IF(INDIRECT("'Student_Record 1'!G" &amp; ROW())="", "", INDIRECT("'Student_Record 1'!G" &amp; ROW()))</f>
        <v/>
      </c>
      <c r="E795" s="8" t="str" cm="1">
        <f t="array" aca="1" ref="E795" ca="1">IF(INDIRECT("'Student_Record 1'!I" &amp; ROW())="", "", INDIRECT("'Student_Record 1'!I" &amp; ROW()))</f>
        <v/>
      </c>
      <c r="F795" s="8" t="str" cm="1">
        <f t="array" aca="1" ref="F795" ca="1">IF(INDIRECT("'Student_Record 1'!O" &amp; ROW())="", "", INDIRECT("'Student_Record 1'!O" &amp; ROW()))</f>
        <v/>
      </c>
      <c r="G795" s="11"/>
      <c r="I795" s="11"/>
      <c r="J795" s="11"/>
      <c r="K795" s="11"/>
      <c r="L795" s="11"/>
      <c r="M795" s="11"/>
      <c r="N795" s="11"/>
      <c r="O795" s="11"/>
      <c r="P795" s="11"/>
      <c r="Q795" s="11"/>
    </row>
    <row r="796" spans="1:17" x14ac:dyDescent="0.25">
      <c r="A796" s="8" t="str" cm="1">
        <f t="array" aca="1" ref="A796" ca="1">IF(INDIRECT("'Student_Record 1'!A" &amp; ROW())="", "", INDIRECT("'Student_Record 1'!A" &amp; ROW()))</f>
        <v/>
      </c>
      <c r="B796" s="8" t="str" cm="1">
        <f t="array" aca="1" ref="B796" ca="1">IF(INDIRECT("'Student_Record 1'!C" &amp; ROW())="", "", INDIRECT("'Student_Record 1'!C" &amp; ROW()))</f>
        <v/>
      </c>
      <c r="C796" s="8" t="str" cm="1">
        <f t="array" aca="1" ref="C796" ca="1">IF(INDIRECT("'Student_Record 1'!E" &amp; ROW())="", "", INDIRECT("'Student_Record 1'!E" &amp; ROW()))</f>
        <v/>
      </c>
      <c r="D796" s="8" t="str" cm="1">
        <f t="array" aca="1" ref="D796" ca="1">IF(INDIRECT("'Student_Record 1'!G" &amp; ROW())="", "", INDIRECT("'Student_Record 1'!G" &amp; ROW()))</f>
        <v/>
      </c>
      <c r="E796" s="8" t="str" cm="1">
        <f t="array" aca="1" ref="E796" ca="1">IF(INDIRECT("'Student_Record 1'!I" &amp; ROW())="", "", INDIRECT("'Student_Record 1'!I" &amp; ROW()))</f>
        <v/>
      </c>
      <c r="F796" s="8" t="str" cm="1">
        <f t="array" aca="1" ref="F796" ca="1">IF(INDIRECT("'Student_Record 1'!O" &amp; ROW())="", "", INDIRECT("'Student_Record 1'!O" &amp; ROW()))</f>
        <v/>
      </c>
      <c r="G796" s="11"/>
      <c r="I796" s="11"/>
      <c r="J796" s="11"/>
      <c r="K796" s="11"/>
      <c r="L796" s="11"/>
      <c r="M796" s="11"/>
      <c r="N796" s="11"/>
      <c r="O796" s="11"/>
      <c r="P796" s="11"/>
      <c r="Q796" s="11"/>
    </row>
    <row r="797" spans="1:17" x14ac:dyDescent="0.25">
      <c r="A797" s="8" t="str" cm="1">
        <f t="array" aca="1" ref="A797" ca="1">IF(INDIRECT("'Student_Record 1'!A" &amp; ROW())="", "", INDIRECT("'Student_Record 1'!A" &amp; ROW()))</f>
        <v/>
      </c>
      <c r="B797" s="8" t="str" cm="1">
        <f t="array" aca="1" ref="B797" ca="1">IF(INDIRECT("'Student_Record 1'!C" &amp; ROW())="", "", INDIRECT("'Student_Record 1'!C" &amp; ROW()))</f>
        <v/>
      </c>
      <c r="C797" s="8" t="str" cm="1">
        <f t="array" aca="1" ref="C797" ca="1">IF(INDIRECT("'Student_Record 1'!E" &amp; ROW())="", "", INDIRECT("'Student_Record 1'!E" &amp; ROW()))</f>
        <v/>
      </c>
      <c r="D797" s="8" t="str" cm="1">
        <f t="array" aca="1" ref="D797" ca="1">IF(INDIRECT("'Student_Record 1'!G" &amp; ROW())="", "", INDIRECT("'Student_Record 1'!G" &amp; ROW()))</f>
        <v/>
      </c>
      <c r="E797" s="8" t="str" cm="1">
        <f t="array" aca="1" ref="E797" ca="1">IF(INDIRECT("'Student_Record 1'!I" &amp; ROW())="", "", INDIRECT("'Student_Record 1'!I" &amp; ROW()))</f>
        <v/>
      </c>
      <c r="F797" s="8" t="str" cm="1">
        <f t="array" aca="1" ref="F797" ca="1">IF(INDIRECT("'Student_Record 1'!O" &amp; ROW())="", "", INDIRECT("'Student_Record 1'!O" &amp; ROW()))</f>
        <v/>
      </c>
      <c r="G797" s="11"/>
      <c r="I797" s="11"/>
      <c r="J797" s="11"/>
      <c r="K797" s="11"/>
      <c r="L797" s="11"/>
      <c r="M797" s="11"/>
      <c r="N797" s="11"/>
      <c r="O797" s="11"/>
      <c r="P797" s="11"/>
      <c r="Q797" s="11"/>
    </row>
    <row r="798" spans="1:17" x14ac:dyDescent="0.25">
      <c r="A798" s="8" t="str" cm="1">
        <f t="array" aca="1" ref="A798" ca="1">IF(INDIRECT("'Student_Record 1'!A" &amp; ROW())="", "", INDIRECT("'Student_Record 1'!A" &amp; ROW()))</f>
        <v/>
      </c>
      <c r="B798" s="8" t="str" cm="1">
        <f t="array" aca="1" ref="B798" ca="1">IF(INDIRECT("'Student_Record 1'!C" &amp; ROW())="", "", INDIRECT("'Student_Record 1'!C" &amp; ROW()))</f>
        <v/>
      </c>
      <c r="C798" s="8" t="str" cm="1">
        <f t="array" aca="1" ref="C798" ca="1">IF(INDIRECT("'Student_Record 1'!E" &amp; ROW())="", "", INDIRECT("'Student_Record 1'!E" &amp; ROW()))</f>
        <v/>
      </c>
      <c r="D798" s="8" t="str" cm="1">
        <f t="array" aca="1" ref="D798" ca="1">IF(INDIRECT("'Student_Record 1'!G" &amp; ROW())="", "", INDIRECT("'Student_Record 1'!G" &amp; ROW()))</f>
        <v/>
      </c>
      <c r="E798" s="8" t="str" cm="1">
        <f t="array" aca="1" ref="E798" ca="1">IF(INDIRECT("'Student_Record 1'!I" &amp; ROW())="", "", INDIRECT("'Student_Record 1'!I" &amp; ROW()))</f>
        <v/>
      </c>
      <c r="F798" s="8" t="str" cm="1">
        <f t="array" aca="1" ref="F798" ca="1">IF(INDIRECT("'Student_Record 1'!O" &amp; ROW())="", "", INDIRECT("'Student_Record 1'!O" &amp; ROW()))</f>
        <v/>
      </c>
      <c r="G798" s="11"/>
      <c r="I798" s="11"/>
      <c r="J798" s="11"/>
      <c r="K798" s="11"/>
      <c r="L798" s="11"/>
      <c r="M798" s="11"/>
      <c r="N798" s="11"/>
      <c r="O798" s="11"/>
      <c r="P798" s="11"/>
      <c r="Q798" s="11"/>
    </row>
    <row r="799" spans="1:17" x14ac:dyDescent="0.25">
      <c r="A799" s="8" t="str" cm="1">
        <f t="array" aca="1" ref="A799" ca="1">IF(INDIRECT("'Student_Record 1'!A" &amp; ROW())="", "", INDIRECT("'Student_Record 1'!A" &amp; ROW()))</f>
        <v/>
      </c>
      <c r="B799" s="8" t="str" cm="1">
        <f t="array" aca="1" ref="B799" ca="1">IF(INDIRECT("'Student_Record 1'!C" &amp; ROW())="", "", INDIRECT("'Student_Record 1'!C" &amp; ROW()))</f>
        <v/>
      </c>
      <c r="C799" s="8" t="str" cm="1">
        <f t="array" aca="1" ref="C799" ca="1">IF(INDIRECT("'Student_Record 1'!E" &amp; ROW())="", "", INDIRECT("'Student_Record 1'!E" &amp; ROW()))</f>
        <v/>
      </c>
      <c r="D799" s="8" t="str" cm="1">
        <f t="array" aca="1" ref="D799" ca="1">IF(INDIRECT("'Student_Record 1'!G" &amp; ROW())="", "", INDIRECT("'Student_Record 1'!G" &amp; ROW()))</f>
        <v/>
      </c>
      <c r="E799" s="8" t="str" cm="1">
        <f t="array" aca="1" ref="E799" ca="1">IF(INDIRECT("'Student_Record 1'!I" &amp; ROW())="", "", INDIRECT("'Student_Record 1'!I" &amp; ROW()))</f>
        <v/>
      </c>
      <c r="F799" s="8" t="str" cm="1">
        <f t="array" aca="1" ref="F799" ca="1">IF(INDIRECT("'Student_Record 1'!O" &amp; ROW())="", "", INDIRECT("'Student_Record 1'!O" &amp; ROW()))</f>
        <v/>
      </c>
      <c r="G799" s="11"/>
      <c r="I799" s="11"/>
      <c r="J799" s="11"/>
      <c r="K799" s="11"/>
      <c r="L799" s="11"/>
      <c r="M799" s="11"/>
      <c r="N799" s="11"/>
      <c r="O799" s="11"/>
      <c r="P799" s="11"/>
      <c r="Q799" s="11"/>
    </row>
    <row r="800" spans="1:17" x14ac:dyDescent="0.25">
      <c r="A800" s="8" t="str" cm="1">
        <f t="array" aca="1" ref="A800" ca="1">IF(INDIRECT("'Student_Record 1'!A" &amp; ROW())="", "", INDIRECT("'Student_Record 1'!A" &amp; ROW()))</f>
        <v/>
      </c>
      <c r="B800" s="8" t="str" cm="1">
        <f t="array" aca="1" ref="B800" ca="1">IF(INDIRECT("'Student_Record 1'!C" &amp; ROW())="", "", INDIRECT("'Student_Record 1'!C" &amp; ROW()))</f>
        <v/>
      </c>
      <c r="C800" s="8" t="str" cm="1">
        <f t="array" aca="1" ref="C800" ca="1">IF(INDIRECT("'Student_Record 1'!E" &amp; ROW())="", "", INDIRECT("'Student_Record 1'!E" &amp; ROW()))</f>
        <v/>
      </c>
      <c r="D800" s="8" t="str" cm="1">
        <f t="array" aca="1" ref="D800" ca="1">IF(INDIRECT("'Student_Record 1'!G" &amp; ROW())="", "", INDIRECT("'Student_Record 1'!G" &amp; ROW()))</f>
        <v/>
      </c>
      <c r="E800" s="8" t="str" cm="1">
        <f t="array" aca="1" ref="E800" ca="1">IF(INDIRECT("'Student_Record 1'!I" &amp; ROW())="", "", INDIRECT("'Student_Record 1'!I" &amp; ROW()))</f>
        <v/>
      </c>
      <c r="F800" s="8" t="str" cm="1">
        <f t="array" aca="1" ref="F800" ca="1">IF(INDIRECT("'Student_Record 1'!O" &amp; ROW())="", "", INDIRECT("'Student_Record 1'!O" &amp; ROW()))</f>
        <v/>
      </c>
      <c r="G800" s="11"/>
      <c r="I800" s="11"/>
      <c r="J800" s="11"/>
      <c r="K800" s="11"/>
      <c r="L800" s="11"/>
      <c r="M800" s="11"/>
      <c r="N800" s="11"/>
      <c r="O800" s="11"/>
      <c r="P800" s="11"/>
      <c r="Q800" s="11"/>
    </row>
    <row r="801" spans="1:17" x14ac:dyDescent="0.25">
      <c r="A801" s="8" t="str" cm="1">
        <f t="array" aca="1" ref="A801" ca="1">IF(INDIRECT("'Student_Record 1'!A" &amp; ROW())="", "", INDIRECT("'Student_Record 1'!A" &amp; ROW()))</f>
        <v/>
      </c>
      <c r="B801" s="8" t="str" cm="1">
        <f t="array" aca="1" ref="B801" ca="1">IF(INDIRECT("'Student_Record 1'!C" &amp; ROW())="", "", INDIRECT("'Student_Record 1'!C" &amp; ROW()))</f>
        <v/>
      </c>
      <c r="C801" s="8" t="str" cm="1">
        <f t="array" aca="1" ref="C801" ca="1">IF(INDIRECT("'Student_Record 1'!E" &amp; ROW())="", "", INDIRECT("'Student_Record 1'!E" &amp; ROW()))</f>
        <v/>
      </c>
      <c r="D801" s="8" t="str" cm="1">
        <f t="array" aca="1" ref="D801" ca="1">IF(INDIRECT("'Student_Record 1'!G" &amp; ROW())="", "", INDIRECT("'Student_Record 1'!G" &amp; ROW()))</f>
        <v/>
      </c>
      <c r="E801" s="8" t="str" cm="1">
        <f t="array" aca="1" ref="E801" ca="1">IF(INDIRECT("'Student_Record 1'!I" &amp; ROW())="", "", INDIRECT("'Student_Record 1'!I" &amp; ROW()))</f>
        <v/>
      </c>
      <c r="F801" s="8" t="str" cm="1">
        <f t="array" aca="1" ref="F801" ca="1">IF(INDIRECT("'Student_Record 1'!O" &amp; ROW())="", "", INDIRECT("'Student_Record 1'!O" &amp; ROW()))</f>
        <v/>
      </c>
      <c r="G801" s="11"/>
      <c r="I801" s="11"/>
      <c r="J801" s="11"/>
      <c r="K801" s="11"/>
      <c r="L801" s="11"/>
      <c r="M801" s="11"/>
      <c r="N801" s="11"/>
      <c r="O801" s="11"/>
      <c r="P801" s="11"/>
      <c r="Q801" s="11"/>
    </row>
    <row r="802" spans="1:17" x14ac:dyDescent="0.25">
      <c r="A802" s="8" t="str" cm="1">
        <f t="array" aca="1" ref="A802" ca="1">IF(INDIRECT("'Student_Record 1'!A" &amp; ROW())="", "", INDIRECT("'Student_Record 1'!A" &amp; ROW()))</f>
        <v/>
      </c>
      <c r="B802" s="8" t="str" cm="1">
        <f t="array" aca="1" ref="B802" ca="1">IF(INDIRECT("'Student_Record 1'!C" &amp; ROW())="", "", INDIRECT("'Student_Record 1'!C" &amp; ROW()))</f>
        <v/>
      </c>
      <c r="C802" s="8" t="str" cm="1">
        <f t="array" aca="1" ref="C802" ca="1">IF(INDIRECT("'Student_Record 1'!E" &amp; ROW())="", "", INDIRECT("'Student_Record 1'!E" &amp; ROW()))</f>
        <v/>
      </c>
      <c r="D802" s="8" t="str" cm="1">
        <f t="array" aca="1" ref="D802" ca="1">IF(INDIRECT("'Student_Record 1'!G" &amp; ROW())="", "", INDIRECT("'Student_Record 1'!G" &amp; ROW()))</f>
        <v/>
      </c>
      <c r="E802" s="8" t="str" cm="1">
        <f t="array" aca="1" ref="E802" ca="1">IF(INDIRECT("'Student_Record 1'!I" &amp; ROW())="", "", INDIRECT("'Student_Record 1'!I" &amp; ROW()))</f>
        <v/>
      </c>
      <c r="F802" s="8" t="str" cm="1">
        <f t="array" aca="1" ref="F802" ca="1">IF(INDIRECT("'Student_Record 1'!O" &amp; ROW())="", "", INDIRECT("'Student_Record 1'!O" &amp; ROW()))</f>
        <v/>
      </c>
      <c r="G802" s="11"/>
      <c r="I802" s="11"/>
      <c r="J802" s="11"/>
      <c r="K802" s="11"/>
      <c r="L802" s="11"/>
      <c r="M802" s="11"/>
      <c r="N802" s="11"/>
      <c r="O802" s="11"/>
      <c r="P802" s="11"/>
      <c r="Q802" s="11"/>
    </row>
    <row r="803" spans="1:17" x14ac:dyDescent="0.25">
      <c r="A803" s="8" t="str" cm="1">
        <f t="array" aca="1" ref="A803" ca="1">IF(INDIRECT("'Student_Record 1'!A" &amp; ROW())="", "", INDIRECT("'Student_Record 1'!A" &amp; ROW()))</f>
        <v/>
      </c>
      <c r="B803" s="8" t="str" cm="1">
        <f t="array" aca="1" ref="B803" ca="1">IF(INDIRECT("'Student_Record 1'!C" &amp; ROW())="", "", INDIRECT("'Student_Record 1'!C" &amp; ROW()))</f>
        <v/>
      </c>
      <c r="C803" s="8" t="str" cm="1">
        <f t="array" aca="1" ref="C803" ca="1">IF(INDIRECT("'Student_Record 1'!E" &amp; ROW())="", "", INDIRECT("'Student_Record 1'!E" &amp; ROW()))</f>
        <v/>
      </c>
      <c r="D803" s="8" t="str" cm="1">
        <f t="array" aca="1" ref="D803" ca="1">IF(INDIRECT("'Student_Record 1'!G" &amp; ROW())="", "", INDIRECT("'Student_Record 1'!G" &amp; ROW()))</f>
        <v/>
      </c>
      <c r="E803" s="8" t="str" cm="1">
        <f t="array" aca="1" ref="E803" ca="1">IF(INDIRECT("'Student_Record 1'!I" &amp; ROW())="", "", INDIRECT("'Student_Record 1'!I" &amp; ROW()))</f>
        <v/>
      </c>
      <c r="F803" s="8" t="str" cm="1">
        <f t="array" aca="1" ref="F803" ca="1">IF(INDIRECT("'Student_Record 1'!O" &amp; ROW())="", "", INDIRECT("'Student_Record 1'!O" &amp; ROW()))</f>
        <v/>
      </c>
      <c r="G803" s="11"/>
      <c r="I803" s="11"/>
      <c r="J803" s="11"/>
      <c r="K803" s="11"/>
      <c r="L803" s="11"/>
      <c r="M803" s="11"/>
      <c r="N803" s="11"/>
      <c r="O803" s="11"/>
      <c r="P803" s="11"/>
      <c r="Q803" s="11"/>
    </row>
    <row r="804" spans="1:17" x14ac:dyDescent="0.25">
      <c r="A804" s="8" t="str" cm="1">
        <f t="array" aca="1" ref="A804" ca="1">IF(INDIRECT("'Student_Record 1'!A" &amp; ROW())="", "", INDIRECT("'Student_Record 1'!A" &amp; ROW()))</f>
        <v/>
      </c>
      <c r="B804" s="8" t="str" cm="1">
        <f t="array" aca="1" ref="B804" ca="1">IF(INDIRECT("'Student_Record 1'!C" &amp; ROW())="", "", INDIRECT("'Student_Record 1'!C" &amp; ROW()))</f>
        <v/>
      </c>
      <c r="C804" s="8" t="str" cm="1">
        <f t="array" aca="1" ref="C804" ca="1">IF(INDIRECT("'Student_Record 1'!E" &amp; ROW())="", "", INDIRECT("'Student_Record 1'!E" &amp; ROW()))</f>
        <v/>
      </c>
      <c r="D804" s="8" t="str" cm="1">
        <f t="array" aca="1" ref="D804" ca="1">IF(INDIRECT("'Student_Record 1'!G" &amp; ROW())="", "", INDIRECT("'Student_Record 1'!G" &amp; ROW()))</f>
        <v/>
      </c>
      <c r="E804" s="8" t="str" cm="1">
        <f t="array" aca="1" ref="E804" ca="1">IF(INDIRECT("'Student_Record 1'!I" &amp; ROW())="", "", INDIRECT("'Student_Record 1'!I" &amp; ROW()))</f>
        <v/>
      </c>
      <c r="F804" s="8" t="str" cm="1">
        <f t="array" aca="1" ref="F804" ca="1">IF(INDIRECT("'Student_Record 1'!O" &amp; ROW())="", "", INDIRECT("'Student_Record 1'!O" &amp; ROW()))</f>
        <v/>
      </c>
      <c r="G804" s="11"/>
      <c r="I804" s="11"/>
      <c r="J804" s="11"/>
      <c r="K804" s="11"/>
      <c r="L804" s="11"/>
      <c r="M804" s="11"/>
      <c r="N804" s="11"/>
      <c r="O804" s="11"/>
      <c r="P804" s="11"/>
      <c r="Q804" s="11"/>
    </row>
    <row r="805" spans="1:17" x14ac:dyDescent="0.25">
      <c r="A805" s="8" t="str" cm="1">
        <f t="array" aca="1" ref="A805" ca="1">IF(INDIRECT("'Student_Record 1'!A" &amp; ROW())="", "", INDIRECT("'Student_Record 1'!A" &amp; ROW()))</f>
        <v/>
      </c>
      <c r="B805" s="8" t="str" cm="1">
        <f t="array" aca="1" ref="B805" ca="1">IF(INDIRECT("'Student_Record 1'!C" &amp; ROW())="", "", INDIRECT("'Student_Record 1'!C" &amp; ROW()))</f>
        <v/>
      </c>
      <c r="C805" s="8" t="str" cm="1">
        <f t="array" aca="1" ref="C805" ca="1">IF(INDIRECT("'Student_Record 1'!E" &amp; ROW())="", "", INDIRECT("'Student_Record 1'!E" &amp; ROW()))</f>
        <v/>
      </c>
      <c r="D805" s="8" t="str" cm="1">
        <f t="array" aca="1" ref="D805" ca="1">IF(INDIRECT("'Student_Record 1'!G" &amp; ROW())="", "", INDIRECT("'Student_Record 1'!G" &amp; ROW()))</f>
        <v/>
      </c>
      <c r="E805" s="8" t="str" cm="1">
        <f t="array" aca="1" ref="E805" ca="1">IF(INDIRECT("'Student_Record 1'!I" &amp; ROW())="", "", INDIRECT("'Student_Record 1'!I" &amp; ROW()))</f>
        <v/>
      </c>
      <c r="F805" s="8" t="str" cm="1">
        <f t="array" aca="1" ref="F805" ca="1">IF(INDIRECT("'Student_Record 1'!O" &amp; ROW())="", "", INDIRECT("'Student_Record 1'!O" &amp; ROW()))</f>
        <v/>
      </c>
      <c r="G805" s="11"/>
      <c r="I805" s="11"/>
      <c r="J805" s="11"/>
      <c r="K805" s="11"/>
      <c r="L805" s="11"/>
      <c r="M805" s="11"/>
      <c r="N805" s="11"/>
      <c r="O805" s="11"/>
      <c r="P805" s="11"/>
      <c r="Q805" s="11"/>
    </row>
    <row r="806" spans="1:17" x14ac:dyDescent="0.25">
      <c r="A806" s="8" t="str" cm="1">
        <f t="array" aca="1" ref="A806" ca="1">IF(INDIRECT("'Student_Record 1'!A" &amp; ROW())="", "", INDIRECT("'Student_Record 1'!A" &amp; ROW()))</f>
        <v/>
      </c>
      <c r="B806" s="8" t="str" cm="1">
        <f t="array" aca="1" ref="B806" ca="1">IF(INDIRECT("'Student_Record 1'!C" &amp; ROW())="", "", INDIRECT("'Student_Record 1'!C" &amp; ROW()))</f>
        <v/>
      </c>
      <c r="C806" s="8" t="str" cm="1">
        <f t="array" aca="1" ref="C806" ca="1">IF(INDIRECT("'Student_Record 1'!E" &amp; ROW())="", "", INDIRECT("'Student_Record 1'!E" &amp; ROW()))</f>
        <v/>
      </c>
      <c r="D806" s="8" t="str" cm="1">
        <f t="array" aca="1" ref="D806" ca="1">IF(INDIRECT("'Student_Record 1'!G" &amp; ROW())="", "", INDIRECT("'Student_Record 1'!G" &amp; ROW()))</f>
        <v/>
      </c>
      <c r="E806" s="8" t="str" cm="1">
        <f t="array" aca="1" ref="E806" ca="1">IF(INDIRECT("'Student_Record 1'!I" &amp; ROW())="", "", INDIRECT("'Student_Record 1'!I" &amp; ROW()))</f>
        <v/>
      </c>
      <c r="F806" s="8" t="str" cm="1">
        <f t="array" aca="1" ref="F806" ca="1">IF(INDIRECT("'Student_Record 1'!O" &amp; ROW())="", "", INDIRECT("'Student_Record 1'!O" &amp; ROW()))</f>
        <v/>
      </c>
      <c r="G806" s="11"/>
      <c r="I806" s="11"/>
      <c r="J806" s="11"/>
      <c r="K806" s="11"/>
      <c r="L806" s="11"/>
      <c r="M806" s="11"/>
      <c r="N806" s="11"/>
      <c r="O806" s="11"/>
      <c r="P806" s="11"/>
      <c r="Q806" s="11"/>
    </row>
    <row r="807" spans="1:17" x14ac:dyDescent="0.25">
      <c r="A807" s="8" t="str" cm="1">
        <f t="array" aca="1" ref="A807" ca="1">IF(INDIRECT("'Student_Record 1'!A" &amp; ROW())="", "", INDIRECT("'Student_Record 1'!A" &amp; ROW()))</f>
        <v/>
      </c>
      <c r="B807" s="8" t="str" cm="1">
        <f t="array" aca="1" ref="B807" ca="1">IF(INDIRECT("'Student_Record 1'!C" &amp; ROW())="", "", INDIRECT("'Student_Record 1'!C" &amp; ROW()))</f>
        <v/>
      </c>
      <c r="C807" s="8" t="str" cm="1">
        <f t="array" aca="1" ref="C807" ca="1">IF(INDIRECT("'Student_Record 1'!E" &amp; ROW())="", "", INDIRECT("'Student_Record 1'!E" &amp; ROW()))</f>
        <v/>
      </c>
      <c r="D807" s="8" t="str" cm="1">
        <f t="array" aca="1" ref="D807" ca="1">IF(INDIRECT("'Student_Record 1'!G" &amp; ROW())="", "", INDIRECT("'Student_Record 1'!G" &amp; ROW()))</f>
        <v/>
      </c>
      <c r="E807" s="8" t="str" cm="1">
        <f t="array" aca="1" ref="E807" ca="1">IF(INDIRECT("'Student_Record 1'!I" &amp; ROW())="", "", INDIRECT("'Student_Record 1'!I" &amp; ROW()))</f>
        <v/>
      </c>
      <c r="F807" s="8" t="str" cm="1">
        <f t="array" aca="1" ref="F807" ca="1">IF(INDIRECT("'Student_Record 1'!O" &amp; ROW())="", "", INDIRECT("'Student_Record 1'!O" &amp; ROW()))</f>
        <v/>
      </c>
      <c r="G807" s="11"/>
      <c r="I807" s="11"/>
      <c r="J807" s="11"/>
      <c r="K807" s="11"/>
      <c r="L807" s="11"/>
      <c r="M807" s="11"/>
      <c r="N807" s="11"/>
      <c r="O807" s="11"/>
      <c r="P807" s="11"/>
      <c r="Q807" s="11"/>
    </row>
    <row r="808" spans="1:17" x14ac:dyDescent="0.25">
      <c r="A808" s="8" t="str" cm="1">
        <f t="array" aca="1" ref="A808" ca="1">IF(INDIRECT("'Student_Record 1'!A" &amp; ROW())="", "", INDIRECT("'Student_Record 1'!A" &amp; ROW()))</f>
        <v/>
      </c>
      <c r="B808" s="8" t="str" cm="1">
        <f t="array" aca="1" ref="B808" ca="1">IF(INDIRECT("'Student_Record 1'!C" &amp; ROW())="", "", INDIRECT("'Student_Record 1'!C" &amp; ROW()))</f>
        <v/>
      </c>
      <c r="C808" s="8" t="str" cm="1">
        <f t="array" aca="1" ref="C808" ca="1">IF(INDIRECT("'Student_Record 1'!E" &amp; ROW())="", "", INDIRECT("'Student_Record 1'!E" &amp; ROW()))</f>
        <v/>
      </c>
      <c r="D808" s="8" t="str" cm="1">
        <f t="array" aca="1" ref="D808" ca="1">IF(INDIRECT("'Student_Record 1'!G" &amp; ROW())="", "", INDIRECT("'Student_Record 1'!G" &amp; ROW()))</f>
        <v/>
      </c>
      <c r="E808" s="8" t="str" cm="1">
        <f t="array" aca="1" ref="E808" ca="1">IF(INDIRECT("'Student_Record 1'!I" &amp; ROW())="", "", INDIRECT("'Student_Record 1'!I" &amp; ROW()))</f>
        <v/>
      </c>
      <c r="F808" s="8" t="str" cm="1">
        <f t="array" aca="1" ref="F808" ca="1">IF(INDIRECT("'Student_Record 1'!O" &amp; ROW())="", "", INDIRECT("'Student_Record 1'!O" &amp; ROW()))</f>
        <v/>
      </c>
      <c r="G808" s="11"/>
      <c r="I808" s="11"/>
      <c r="J808" s="11"/>
      <c r="K808" s="11"/>
      <c r="L808" s="11"/>
      <c r="M808" s="11"/>
      <c r="N808" s="11"/>
      <c r="O808" s="11"/>
      <c r="P808" s="11"/>
      <c r="Q808" s="11"/>
    </row>
    <row r="809" spans="1:17" x14ac:dyDescent="0.25">
      <c r="A809" s="8" t="str" cm="1">
        <f t="array" aca="1" ref="A809" ca="1">IF(INDIRECT("'Student_Record 1'!A" &amp; ROW())="", "", INDIRECT("'Student_Record 1'!A" &amp; ROW()))</f>
        <v/>
      </c>
      <c r="B809" s="8" t="str" cm="1">
        <f t="array" aca="1" ref="B809" ca="1">IF(INDIRECT("'Student_Record 1'!C" &amp; ROW())="", "", INDIRECT("'Student_Record 1'!C" &amp; ROW()))</f>
        <v/>
      </c>
      <c r="C809" s="8" t="str" cm="1">
        <f t="array" aca="1" ref="C809" ca="1">IF(INDIRECT("'Student_Record 1'!E" &amp; ROW())="", "", INDIRECT("'Student_Record 1'!E" &amp; ROW()))</f>
        <v/>
      </c>
      <c r="D809" s="8" t="str" cm="1">
        <f t="array" aca="1" ref="D809" ca="1">IF(INDIRECT("'Student_Record 1'!G" &amp; ROW())="", "", INDIRECT("'Student_Record 1'!G" &amp; ROW()))</f>
        <v/>
      </c>
      <c r="E809" s="8" t="str" cm="1">
        <f t="array" aca="1" ref="E809" ca="1">IF(INDIRECT("'Student_Record 1'!I" &amp; ROW())="", "", INDIRECT("'Student_Record 1'!I" &amp; ROW()))</f>
        <v/>
      </c>
      <c r="F809" s="8" t="str" cm="1">
        <f t="array" aca="1" ref="F809" ca="1">IF(INDIRECT("'Student_Record 1'!O" &amp; ROW())="", "", INDIRECT("'Student_Record 1'!O" &amp; ROW()))</f>
        <v/>
      </c>
      <c r="G809" s="11"/>
      <c r="I809" s="11"/>
      <c r="J809" s="11"/>
      <c r="K809" s="11"/>
      <c r="L809" s="11"/>
      <c r="M809" s="11"/>
      <c r="N809" s="11"/>
      <c r="O809" s="11"/>
      <c r="P809" s="11"/>
      <c r="Q809" s="11"/>
    </row>
    <row r="810" spans="1:17" x14ac:dyDescent="0.25">
      <c r="A810" s="8" t="str" cm="1">
        <f t="array" aca="1" ref="A810" ca="1">IF(INDIRECT("'Student_Record 1'!A" &amp; ROW())="", "", INDIRECT("'Student_Record 1'!A" &amp; ROW()))</f>
        <v/>
      </c>
      <c r="B810" s="8" t="str" cm="1">
        <f t="array" aca="1" ref="B810" ca="1">IF(INDIRECT("'Student_Record 1'!C" &amp; ROW())="", "", INDIRECT("'Student_Record 1'!C" &amp; ROW()))</f>
        <v/>
      </c>
      <c r="C810" s="8" t="str" cm="1">
        <f t="array" aca="1" ref="C810" ca="1">IF(INDIRECT("'Student_Record 1'!E" &amp; ROW())="", "", INDIRECT("'Student_Record 1'!E" &amp; ROW()))</f>
        <v/>
      </c>
      <c r="D810" s="8" t="str" cm="1">
        <f t="array" aca="1" ref="D810" ca="1">IF(INDIRECT("'Student_Record 1'!G" &amp; ROW())="", "", INDIRECT("'Student_Record 1'!G" &amp; ROW()))</f>
        <v/>
      </c>
      <c r="E810" s="8" t="str" cm="1">
        <f t="array" aca="1" ref="E810" ca="1">IF(INDIRECT("'Student_Record 1'!I" &amp; ROW())="", "", INDIRECT("'Student_Record 1'!I" &amp; ROW()))</f>
        <v/>
      </c>
      <c r="F810" s="8" t="str" cm="1">
        <f t="array" aca="1" ref="F810" ca="1">IF(INDIRECT("'Student_Record 1'!O" &amp; ROW())="", "", INDIRECT("'Student_Record 1'!O" &amp; ROW()))</f>
        <v/>
      </c>
      <c r="G810" s="11"/>
      <c r="I810" s="11"/>
      <c r="J810" s="11"/>
      <c r="K810" s="11"/>
      <c r="L810" s="11"/>
      <c r="M810" s="11"/>
      <c r="N810" s="11"/>
      <c r="O810" s="11"/>
      <c r="P810" s="11"/>
      <c r="Q810" s="11"/>
    </row>
    <row r="811" spans="1:17" x14ac:dyDescent="0.25">
      <c r="A811" s="8" t="str" cm="1">
        <f t="array" aca="1" ref="A811" ca="1">IF(INDIRECT("'Student_Record 1'!A" &amp; ROW())="", "", INDIRECT("'Student_Record 1'!A" &amp; ROW()))</f>
        <v/>
      </c>
      <c r="B811" s="8" t="str" cm="1">
        <f t="array" aca="1" ref="B811" ca="1">IF(INDIRECT("'Student_Record 1'!C" &amp; ROW())="", "", INDIRECT("'Student_Record 1'!C" &amp; ROW()))</f>
        <v/>
      </c>
      <c r="C811" s="8" t="str" cm="1">
        <f t="array" aca="1" ref="C811" ca="1">IF(INDIRECT("'Student_Record 1'!E" &amp; ROW())="", "", INDIRECT("'Student_Record 1'!E" &amp; ROW()))</f>
        <v/>
      </c>
      <c r="D811" s="8" t="str" cm="1">
        <f t="array" aca="1" ref="D811" ca="1">IF(INDIRECT("'Student_Record 1'!G" &amp; ROW())="", "", INDIRECT("'Student_Record 1'!G" &amp; ROW()))</f>
        <v/>
      </c>
      <c r="E811" s="8" t="str" cm="1">
        <f t="array" aca="1" ref="E811" ca="1">IF(INDIRECT("'Student_Record 1'!I" &amp; ROW())="", "", INDIRECT("'Student_Record 1'!I" &amp; ROW()))</f>
        <v/>
      </c>
      <c r="F811" s="8" t="str" cm="1">
        <f t="array" aca="1" ref="F811" ca="1">IF(INDIRECT("'Student_Record 1'!O" &amp; ROW())="", "", INDIRECT("'Student_Record 1'!O" &amp; ROW()))</f>
        <v/>
      </c>
      <c r="G811" s="11"/>
      <c r="I811" s="11"/>
      <c r="J811" s="11"/>
      <c r="K811" s="11"/>
      <c r="L811" s="11"/>
      <c r="M811" s="11"/>
      <c r="N811" s="11"/>
      <c r="O811" s="11"/>
      <c r="P811" s="11"/>
      <c r="Q811" s="11"/>
    </row>
    <row r="812" spans="1:17" x14ac:dyDescent="0.25">
      <c r="A812" s="8" t="str" cm="1">
        <f t="array" aca="1" ref="A812" ca="1">IF(INDIRECT("'Student_Record 1'!A" &amp; ROW())="", "", INDIRECT("'Student_Record 1'!A" &amp; ROW()))</f>
        <v/>
      </c>
      <c r="B812" s="8" t="str" cm="1">
        <f t="array" aca="1" ref="B812" ca="1">IF(INDIRECT("'Student_Record 1'!C" &amp; ROW())="", "", INDIRECT("'Student_Record 1'!C" &amp; ROW()))</f>
        <v/>
      </c>
      <c r="C812" s="8" t="str" cm="1">
        <f t="array" aca="1" ref="C812" ca="1">IF(INDIRECT("'Student_Record 1'!E" &amp; ROW())="", "", INDIRECT("'Student_Record 1'!E" &amp; ROW()))</f>
        <v/>
      </c>
      <c r="D812" s="8" t="str" cm="1">
        <f t="array" aca="1" ref="D812" ca="1">IF(INDIRECT("'Student_Record 1'!G" &amp; ROW())="", "", INDIRECT("'Student_Record 1'!G" &amp; ROW()))</f>
        <v/>
      </c>
      <c r="E812" s="8" t="str" cm="1">
        <f t="array" aca="1" ref="E812" ca="1">IF(INDIRECT("'Student_Record 1'!I" &amp; ROW())="", "", INDIRECT("'Student_Record 1'!I" &amp; ROW()))</f>
        <v/>
      </c>
      <c r="F812" s="8" t="str" cm="1">
        <f t="array" aca="1" ref="F812" ca="1">IF(INDIRECT("'Student_Record 1'!O" &amp; ROW())="", "", INDIRECT("'Student_Record 1'!O" &amp; ROW()))</f>
        <v/>
      </c>
      <c r="G812" s="11"/>
      <c r="I812" s="11"/>
      <c r="J812" s="11"/>
      <c r="K812" s="11"/>
      <c r="L812" s="11"/>
      <c r="M812" s="11"/>
      <c r="N812" s="11"/>
      <c r="O812" s="11"/>
      <c r="P812" s="11"/>
      <c r="Q812" s="11"/>
    </row>
    <row r="813" spans="1:17" x14ac:dyDescent="0.25">
      <c r="A813" s="8" t="str" cm="1">
        <f t="array" aca="1" ref="A813" ca="1">IF(INDIRECT("'Student_Record 1'!A" &amp; ROW())="", "", INDIRECT("'Student_Record 1'!A" &amp; ROW()))</f>
        <v/>
      </c>
      <c r="B813" s="8" t="str" cm="1">
        <f t="array" aca="1" ref="B813" ca="1">IF(INDIRECT("'Student_Record 1'!C" &amp; ROW())="", "", INDIRECT("'Student_Record 1'!C" &amp; ROW()))</f>
        <v/>
      </c>
      <c r="C813" s="8" t="str" cm="1">
        <f t="array" aca="1" ref="C813" ca="1">IF(INDIRECT("'Student_Record 1'!E" &amp; ROW())="", "", INDIRECT("'Student_Record 1'!E" &amp; ROW()))</f>
        <v/>
      </c>
      <c r="D813" s="8" t="str" cm="1">
        <f t="array" aca="1" ref="D813" ca="1">IF(INDIRECT("'Student_Record 1'!G" &amp; ROW())="", "", INDIRECT("'Student_Record 1'!G" &amp; ROW()))</f>
        <v/>
      </c>
      <c r="E813" s="8" t="str" cm="1">
        <f t="array" aca="1" ref="E813" ca="1">IF(INDIRECT("'Student_Record 1'!I" &amp; ROW())="", "", INDIRECT("'Student_Record 1'!I" &amp; ROW()))</f>
        <v/>
      </c>
      <c r="F813" s="8" t="str" cm="1">
        <f t="array" aca="1" ref="F813" ca="1">IF(INDIRECT("'Student_Record 1'!O" &amp; ROW())="", "", INDIRECT("'Student_Record 1'!O" &amp; ROW()))</f>
        <v/>
      </c>
      <c r="G813" s="11"/>
      <c r="I813" s="11"/>
      <c r="J813" s="11"/>
      <c r="K813" s="11"/>
      <c r="L813" s="11"/>
      <c r="M813" s="11"/>
      <c r="N813" s="11"/>
      <c r="O813" s="11"/>
      <c r="P813" s="11"/>
      <c r="Q813" s="11"/>
    </row>
    <row r="814" spans="1:17" x14ac:dyDescent="0.25">
      <c r="A814" s="8" t="str" cm="1">
        <f t="array" aca="1" ref="A814" ca="1">IF(INDIRECT("'Student_Record 1'!A" &amp; ROW())="", "", INDIRECT("'Student_Record 1'!A" &amp; ROW()))</f>
        <v/>
      </c>
      <c r="B814" s="8" t="str" cm="1">
        <f t="array" aca="1" ref="B814" ca="1">IF(INDIRECT("'Student_Record 1'!C" &amp; ROW())="", "", INDIRECT("'Student_Record 1'!C" &amp; ROW()))</f>
        <v/>
      </c>
      <c r="C814" s="8" t="str" cm="1">
        <f t="array" aca="1" ref="C814" ca="1">IF(INDIRECT("'Student_Record 1'!E" &amp; ROW())="", "", INDIRECT("'Student_Record 1'!E" &amp; ROW()))</f>
        <v/>
      </c>
      <c r="D814" s="8" t="str" cm="1">
        <f t="array" aca="1" ref="D814" ca="1">IF(INDIRECT("'Student_Record 1'!G" &amp; ROW())="", "", INDIRECT("'Student_Record 1'!G" &amp; ROW()))</f>
        <v/>
      </c>
      <c r="E814" s="8" t="str" cm="1">
        <f t="array" aca="1" ref="E814" ca="1">IF(INDIRECT("'Student_Record 1'!I" &amp; ROW())="", "", INDIRECT("'Student_Record 1'!I" &amp; ROW()))</f>
        <v/>
      </c>
      <c r="F814" s="8" t="str" cm="1">
        <f t="array" aca="1" ref="F814" ca="1">IF(INDIRECT("'Student_Record 1'!O" &amp; ROW())="", "", INDIRECT("'Student_Record 1'!O" &amp; ROW()))</f>
        <v/>
      </c>
      <c r="G814" s="11"/>
      <c r="I814" s="11"/>
      <c r="J814" s="11"/>
      <c r="K814" s="11"/>
      <c r="L814" s="11"/>
      <c r="M814" s="11"/>
      <c r="N814" s="11"/>
      <c r="O814" s="11"/>
      <c r="P814" s="11"/>
      <c r="Q814" s="11"/>
    </row>
    <row r="815" spans="1:17" x14ac:dyDescent="0.25">
      <c r="A815" s="8" t="str" cm="1">
        <f t="array" aca="1" ref="A815" ca="1">IF(INDIRECT("'Student_Record 1'!A" &amp; ROW())="", "", INDIRECT("'Student_Record 1'!A" &amp; ROW()))</f>
        <v/>
      </c>
      <c r="B815" s="8" t="str" cm="1">
        <f t="array" aca="1" ref="B815" ca="1">IF(INDIRECT("'Student_Record 1'!C" &amp; ROW())="", "", INDIRECT("'Student_Record 1'!C" &amp; ROW()))</f>
        <v/>
      </c>
      <c r="C815" s="8" t="str" cm="1">
        <f t="array" aca="1" ref="C815" ca="1">IF(INDIRECT("'Student_Record 1'!E" &amp; ROW())="", "", INDIRECT("'Student_Record 1'!E" &amp; ROW()))</f>
        <v/>
      </c>
      <c r="D815" s="8" t="str" cm="1">
        <f t="array" aca="1" ref="D815" ca="1">IF(INDIRECT("'Student_Record 1'!G" &amp; ROW())="", "", INDIRECT("'Student_Record 1'!G" &amp; ROW()))</f>
        <v/>
      </c>
      <c r="E815" s="8" t="str" cm="1">
        <f t="array" aca="1" ref="E815" ca="1">IF(INDIRECT("'Student_Record 1'!I" &amp; ROW())="", "", INDIRECT("'Student_Record 1'!I" &amp; ROW()))</f>
        <v/>
      </c>
      <c r="F815" s="8" t="str" cm="1">
        <f t="array" aca="1" ref="F815" ca="1">IF(INDIRECT("'Student_Record 1'!O" &amp; ROW())="", "", INDIRECT("'Student_Record 1'!O" &amp; ROW()))</f>
        <v/>
      </c>
      <c r="G815" s="11"/>
      <c r="I815" s="11"/>
      <c r="J815" s="11"/>
      <c r="K815" s="11"/>
      <c r="L815" s="11"/>
      <c r="M815" s="11"/>
      <c r="N815" s="11"/>
      <c r="O815" s="11"/>
      <c r="P815" s="11"/>
      <c r="Q815" s="11"/>
    </row>
    <row r="816" spans="1:17" x14ac:dyDescent="0.25">
      <c r="A816" s="8" t="str" cm="1">
        <f t="array" aca="1" ref="A816" ca="1">IF(INDIRECT("'Student_Record 1'!A" &amp; ROW())="", "", INDIRECT("'Student_Record 1'!A" &amp; ROW()))</f>
        <v/>
      </c>
      <c r="B816" s="8" t="str" cm="1">
        <f t="array" aca="1" ref="B816" ca="1">IF(INDIRECT("'Student_Record 1'!C" &amp; ROW())="", "", INDIRECT("'Student_Record 1'!C" &amp; ROW()))</f>
        <v/>
      </c>
      <c r="C816" s="8" t="str" cm="1">
        <f t="array" aca="1" ref="C816" ca="1">IF(INDIRECT("'Student_Record 1'!E" &amp; ROW())="", "", INDIRECT("'Student_Record 1'!E" &amp; ROW()))</f>
        <v/>
      </c>
      <c r="D816" s="8" t="str" cm="1">
        <f t="array" aca="1" ref="D816" ca="1">IF(INDIRECT("'Student_Record 1'!G" &amp; ROW())="", "", INDIRECT("'Student_Record 1'!G" &amp; ROW()))</f>
        <v/>
      </c>
      <c r="E816" s="8" t="str" cm="1">
        <f t="array" aca="1" ref="E816" ca="1">IF(INDIRECT("'Student_Record 1'!I" &amp; ROW())="", "", INDIRECT("'Student_Record 1'!I" &amp; ROW()))</f>
        <v/>
      </c>
      <c r="F816" s="8" t="str" cm="1">
        <f t="array" aca="1" ref="F816" ca="1">IF(INDIRECT("'Student_Record 1'!O" &amp; ROW())="", "", INDIRECT("'Student_Record 1'!O" &amp; ROW()))</f>
        <v/>
      </c>
      <c r="G816" s="11"/>
      <c r="I816" s="11"/>
      <c r="J816" s="11"/>
      <c r="K816" s="11"/>
      <c r="L816" s="11"/>
      <c r="M816" s="11"/>
      <c r="N816" s="11"/>
      <c r="O816" s="11"/>
      <c r="P816" s="11"/>
      <c r="Q816" s="11"/>
    </row>
    <row r="817" spans="1:17" x14ac:dyDescent="0.25">
      <c r="A817" s="8" t="str" cm="1">
        <f t="array" aca="1" ref="A817" ca="1">IF(INDIRECT("'Student_Record 1'!A" &amp; ROW())="", "", INDIRECT("'Student_Record 1'!A" &amp; ROW()))</f>
        <v/>
      </c>
      <c r="B817" s="8" t="str" cm="1">
        <f t="array" aca="1" ref="B817" ca="1">IF(INDIRECT("'Student_Record 1'!C" &amp; ROW())="", "", INDIRECT("'Student_Record 1'!C" &amp; ROW()))</f>
        <v/>
      </c>
      <c r="C817" s="8" t="str" cm="1">
        <f t="array" aca="1" ref="C817" ca="1">IF(INDIRECT("'Student_Record 1'!E" &amp; ROW())="", "", INDIRECT("'Student_Record 1'!E" &amp; ROW()))</f>
        <v/>
      </c>
      <c r="D817" s="8" t="str" cm="1">
        <f t="array" aca="1" ref="D817" ca="1">IF(INDIRECT("'Student_Record 1'!G" &amp; ROW())="", "", INDIRECT("'Student_Record 1'!G" &amp; ROW()))</f>
        <v/>
      </c>
      <c r="E817" s="8" t="str" cm="1">
        <f t="array" aca="1" ref="E817" ca="1">IF(INDIRECT("'Student_Record 1'!I" &amp; ROW())="", "", INDIRECT("'Student_Record 1'!I" &amp; ROW()))</f>
        <v/>
      </c>
      <c r="F817" s="8" t="str" cm="1">
        <f t="array" aca="1" ref="F817" ca="1">IF(INDIRECT("'Student_Record 1'!O" &amp; ROW())="", "", INDIRECT("'Student_Record 1'!O" &amp; ROW()))</f>
        <v/>
      </c>
      <c r="G817" s="11"/>
      <c r="I817" s="11"/>
      <c r="J817" s="11"/>
      <c r="K817" s="11"/>
      <c r="L817" s="11"/>
      <c r="M817" s="11"/>
      <c r="N817" s="11"/>
      <c r="O817" s="11"/>
      <c r="P817" s="11"/>
      <c r="Q817" s="11"/>
    </row>
    <row r="818" spans="1:17" x14ac:dyDescent="0.25">
      <c r="A818" s="8" t="str" cm="1">
        <f t="array" aca="1" ref="A818" ca="1">IF(INDIRECT("'Student_Record 1'!A" &amp; ROW())="", "", INDIRECT("'Student_Record 1'!A" &amp; ROW()))</f>
        <v/>
      </c>
      <c r="B818" s="8" t="str" cm="1">
        <f t="array" aca="1" ref="B818" ca="1">IF(INDIRECT("'Student_Record 1'!C" &amp; ROW())="", "", INDIRECT("'Student_Record 1'!C" &amp; ROW()))</f>
        <v/>
      </c>
      <c r="C818" s="8" t="str" cm="1">
        <f t="array" aca="1" ref="C818" ca="1">IF(INDIRECT("'Student_Record 1'!E" &amp; ROW())="", "", INDIRECT("'Student_Record 1'!E" &amp; ROW()))</f>
        <v/>
      </c>
      <c r="D818" s="8" t="str" cm="1">
        <f t="array" aca="1" ref="D818" ca="1">IF(INDIRECT("'Student_Record 1'!G" &amp; ROW())="", "", INDIRECT("'Student_Record 1'!G" &amp; ROW()))</f>
        <v/>
      </c>
      <c r="E818" s="8" t="str" cm="1">
        <f t="array" aca="1" ref="E818" ca="1">IF(INDIRECT("'Student_Record 1'!I" &amp; ROW())="", "", INDIRECT("'Student_Record 1'!I" &amp; ROW()))</f>
        <v/>
      </c>
      <c r="F818" s="8" t="str" cm="1">
        <f t="array" aca="1" ref="F818" ca="1">IF(INDIRECT("'Student_Record 1'!O" &amp; ROW())="", "", INDIRECT("'Student_Record 1'!O" &amp; ROW()))</f>
        <v/>
      </c>
      <c r="G818" s="11"/>
      <c r="I818" s="11"/>
      <c r="J818" s="11"/>
      <c r="K818" s="11"/>
      <c r="L818" s="11"/>
      <c r="M818" s="11"/>
      <c r="N818" s="11"/>
      <c r="O818" s="11"/>
      <c r="P818" s="11"/>
      <c r="Q818" s="11"/>
    </row>
    <row r="819" spans="1:17" x14ac:dyDescent="0.25">
      <c r="A819" s="8" t="str" cm="1">
        <f t="array" aca="1" ref="A819" ca="1">IF(INDIRECT("'Student_Record 1'!A" &amp; ROW())="", "", INDIRECT("'Student_Record 1'!A" &amp; ROW()))</f>
        <v/>
      </c>
      <c r="B819" s="8" t="str" cm="1">
        <f t="array" aca="1" ref="B819" ca="1">IF(INDIRECT("'Student_Record 1'!C" &amp; ROW())="", "", INDIRECT("'Student_Record 1'!C" &amp; ROW()))</f>
        <v/>
      </c>
      <c r="C819" s="8" t="str" cm="1">
        <f t="array" aca="1" ref="C819" ca="1">IF(INDIRECT("'Student_Record 1'!E" &amp; ROW())="", "", INDIRECT("'Student_Record 1'!E" &amp; ROW()))</f>
        <v/>
      </c>
      <c r="D819" s="8" t="str" cm="1">
        <f t="array" aca="1" ref="D819" ca="1">IF(INDIRECT("'Student_Record 1'!G" &amp; ROW())="", "", INDIRECT("'Student_Record 1'!G" &amp; ROW()))</f>
        <v/>
      </c>
      <c r="E819" s="8" t="str" cm="1">
        <f t="array" aca="1" ref="E819" ca="1">IF(INDIRECT("'Student_Record 1'!I" &amp; ROW())="", "", INDIRECT("'Student_Record 1'!I" &amp; ROW()))</f>
        <v/>
      </c>
      <c r="F819" s="8" t="str" cm="1">
        <f t="array" aca="1" ref="F819" ca="1">IF(INDIRECT("'Student_Record 1'!O" &amp; ROW())="", "", INDIRECT("'Student_Record 1'!O" &amp; ROW()))</f>
        <v/>
      </c>
      <c r="G819" s="11"/>
      <c r="I819" s="11"/>
      <c r="J819" s="11"/>
      <c r="K819" s="11"/>
      <c r="L819" s="11"/>
      <c r="M819" s="11"/>
      <c r="N819" s="11"/>
      <c r="O819" s="11"/>
      <c r="P819" s="11"/>
      <c r="Q819" s="11"/>
    </row>
    <row r="820" spans="1:17" x14ac:dyDescent="0.25">
      <c r="A820" s="8" t="str" cm="1">
        <f t="array" aca="1" ref="A820" ca="1">IF(INDIRECT("'Student_Record 1'!A" &amp; ROW())="", "", INDIRECT("'Student_Record 1'!A" &amp; ROW()))</f>
        <v/>
      </c>
      <c r="B820" s="8" t="str" cm="1">
        <f t="array" aca="1" ref="B820" ca="1">IF(INDIRECT("'Student_Record 1'!C" &amp; ROW())="", "", INDIRECT("'Student_Record 1'!C" &amp; ROW()))</f>
        <v/>
      </c>
      <c r="C820" s="8" t="str" cm="1">
        <f t="array" aca="1" ref="C820" ca="1">IF(INDIRECT("'Student_Record 1'!E" &amp; ROW())="", "", INDIRECT("'Student_Record 1'!E" &amp; ROW()))</f>
        <v/>
      </c>
      <c r="D820" s="8" t="str" cm="1">
        <f t="array" aca="1" ref="D820" ca="1">IF(INDIRECT("'Student_Record 1'!G" &amp; ROW())="", "", INDIRECT("'Student_Record 1'!G" &amp; ROW()))</f>
        <v/>
      </c>
      <c r="E820" s="8" t="str" cm="1">
        <f t="array" aca="1" ref="E820" ca="1">IF(INDIRECT("'Student_Record 1'!I" &amp; ROW())="", "", INDIRECT("'Student_Record 1'!I" &amp; ROW()))</f>
        <v/>
      </c>
      <c r="F820" s="8" t="str" cm="1">
        <f t="array" aca="1" ref="F820" ca="1">IF(INDIRECT("'Student_Record 1'!O" &amp; ROW())="", "", INDIRECT("'Student_Record 1'!O" &amp; ROW()))</f>
        <v/>
      </c>
      <c r="G820" s="11"/>
      <c r="I820" s="11"/>
      <c r="J820" s="11"/>
      <c r="K820" s="11"/>
      <c r="L820" s="11"/>
      <c r="M820" s="11"/>
      <c r="N820" s="11"/>
      <c r="O820" s="11"/>
      <c r="P820" s="11"/>
      <c r="Q820" s="11"/>
    </row>
    <row r="821" spans="1:17" x14ac:dyDescent="0.25">
      <c r="A821" s="8" t="str" cm="1">
        <f t="array" aca="1" ref="A821" ca="1">IF(INDIRECT("'Student_Record 1'!A" &amp; ROW())="", "", INDIRECT("'Student_Record 1'!A" &amp; ROW()))</f>
        <v/>
      </c>
      <c r="B821" s="8" t="str" cm="1">
        <f t="array" aca="1" ref="B821" ca="1">IF(INDIRECT("'Student_Record 1'!C" &amp; ROW())="", "", INDIRECT("'Student_Record 1'!C" &amp; ROW()))</f>
        <v/>
      </c>
      <c r="C821" s="8" t="str" cm="1">
        <f t="array" aca="1" ref="C821" ca="1">IF(INDIRECT("'Student_Record 1'!E" &amp; ROW())="", "", INDIRECT("'Student_Record 1'!E" &amp; ROW()))</f>
        <v/>
      </c>
      <c r="D821" s="8" t="str" cm="1">
        <f t="array" aca="1" ref="D821" ca="1">IF(INDIRECT("'Student_Record 1'!G" &amp; ROW())="", "", INDIRECT("'Student_Record 1'!G" &amp; ROW()))</f>
        <v/>
      </c>
      <c r="E821" s="8" t="str" cm="1">
        <f t="array" aca="1" ref="E821" ca="1">IF(INDIRECT("'Student_Record 1'!I" &amp; ROW())="", "", INDIRECT("'Student_Record 1'!I" &amp; ROW()))</f>
        <v/>
      </c>
      <c r="F821" s="8" t="str" cm="1">
        <f t="array" aca="1" ref="F821" ca="1">IF(INDIRECT("'Student_Record 1'!O" &amp; ROW())="", "", INDIRECT("'Student_Record 1'!O" &amp; ROW()))</f>
        <v/>
      </c>
      <c r="G821" s="11"/>
      <c r="I821" s="11"/>
      <c r="J821" s="11"/>
      <c r="K821" s="11"/>
      <c r="L821" s="11"/>
      <c r="M821" s="11"/>
      <c r="N821" s="11"/>
      <c r="O821" s="11"/>
      <c r="P821" s="11"/>
      <c r="Q821" s="11"/>
    </row>
    <row r="822" spans="1:17" x14ac:dyDescent="0.25">
      <c r="A822" s="8" t="str" cm="1">
        <f t="array" aca="1" ref="A822" ca="1">IF(INDIRECT("'Student_Record 1'!A" &amp; ROW())="", "", INDIRECT("'Student_Record 1'!A" &amp; ROW()))</f>
        <v/>
      </c>
      <c r="B822" s="8" t="str" cm="1">
        <f t="array" aca="1" ref="B822" ca="1">IF(INDIRECT("'Student_Record 1'!C" &amp; ROW())="", "", INDIRECT("'Student_Record 1'!C" &amp; ROW()))</f>
        <v/>
      </c>
      <c r="C822" s="8" t="str" cm="1">
        <f t="array" aca="1" ref="C822" ca="1">IF(INDIRECT("'Student_Record 1'!E" &amp; ROW())="", "", INDIRECT("'Student_Record 1'!E" &amp; ROW()))</f>
        <v/>
      </c>
      <c r="D822" s="8" t="str" cm="1">
        <f t="array" aca="1" ref="D822" ca="1">IF(INDIRECT("'Student_Record 1'!G" &amp; ROW())="", "", INDIRECT("'Student_Record 1'!G" &amp; ROW()))</f>
        <v/>
      </c>
      <c r="E822" s="8" t="str" cm="1">
        <f t="array" aca="1" ref="E822" ca="1">IF(INDIRECT("'Student_Record 1'!I" &amp; ROW())="", "", INDIRECT("'Student_Record 1'!I" &amp; ROW()))</f>
        <v/>
      </c>
      <c r="F822" s="8" t="str" cm="1">
        <f t="array" aca="1" ref="F822" ca="1">IF(INDIRECT("'Student_Record 1'!O" &amp; ROW())="", "", INDIRECT("'Student_Record 1'!O" &amp; ROW()))</f>
        <v/>
      </c>
      <c r="G822" s="11"/>
      <c r="I822" s="11"/>
      <c r="J822" s="11"/>
      <c r="K822" s="11"/>
      <c r="L822" s="11"/>
      <c r="M822" s="11"/>
      <c r="N822" s="11"/>
      <c r="O822" s="11"/>
      <c r="P822" s="11"/>
      <c r="Q822" s="11"/>
    </row>
    <row r="823" spans="1:17" x14ac:dyDescent="0.25">
      <c r="A823" s="8" t="str" cm="1">
        <f t="array" aca="1" ref="A823" ca="1">IF(INDIRECT("'Student_Record 1'!A" &amp; ROW())="", "", INDIRECT("'Student_Record 1'!A" &amp; ROW()))</f>
        <v/>
      </c>
      <c r="B823" s="8" t="str" cm="1">
        <f t="array" aca="1" ref="B823" ca="1">IF(INDIRECT("'Student_Record 1'!C" &amp; ROW())="", "", INDIRECT("'Student_Record 1'!C" &amp; ROW()))</f>
        <v/>
      </c>
      <c r="C823" s="8" t="str" cm="1">
        <f t="array" aca="1" ref="C823" ca="1">IF(INDIRECT("'Student_Record 1'!E" &amp; ROW())="", "", INDIRECT("'Student_Record 1'!E" &amp; ROW()))</f>
        <v/>
      </c>
      <c r="D823" s="8" t="str" cm="1">
        <f t="array" aca="1" ref="D823" ca="1">IF(INDIRECT("'Student_Record 1'!G" &amp; ROW())="", "", INDIRECT("'Student_Record 1'!G" &amp; ROW()))</f>
        <v/>
      </c>
      <c r="E823" s="8" t="str" cm="1">
        <f t="array" aca="1" ref="E823" ca="1">IF(INDIRECT("'Student_Record 1'!I" &amp; ROW())="", "", INDIRECT("'Student_Record 1'!I" &amp; ROW()))</f>
        <v/>
      </c>
      <c r="F823" s="8" t="str" cm="1">
        <f t="array" aca="1" ref="F823" ca="1">IF(INDIRECT("'Student_Record 1'!O" &amp; ROW())="", "", INDIRECT("'Student_Record 1'!O" &amp; ROW()))</f>
        <v/>
      </c>
      <c r="G823" s="11"/>
      <c r="I823" s="11"/>
      <c r="J823" s="11"/>
      <c r="K823" s="11"/>
      <c r="L823" s="11"/>
      <c r="M823" s="11"/>
      <c r="N823" s="11"/>
      <c r="O823" s="11"/>
      <c r="P823" s="11"/>
      <c r="Q823" s="11"/>
    </row>
    <row r="824" spans="1:17" x14ac:dyDescent="0.25">
      <c r="A824" s="8" t="str" cm="1">
        <f t="array" aca="1" ref="A824" ca="1">IF(INDIRECT("'Student_Record 1'!A" &amp; ROW())="", "", INDIRECT("'Student_Record 1'!A" &amp; ROW()))</f>
        <v/>
      </c>
      <c r="B824" s="8" t="str" cm="1">
        <f t="array" aca="1" ref="B824" ca="1">IF(INDIRECT("'Student_Record 1'!C" &amp; ROW())="", "", INDIRECT("'Student_Record 1'!C" &amp; ROW()))</f>
        <v/>
      </c>
      <c r="C824" s="8" t="str" cm="1">
        <f t="array" aca="1" ref="C824" ca="1">IF(INDIRECT("'Student_Record 1'!E" &amp; ROW())="", "", INDIRECT("'Student_Record 1'!E" &amp; ROW()))</f>
        <v/>
      </c>
      <c r="D824" s="8" t="str" cm="1">
        <f t="array" aca="1" ref="D824" ca="1">IF(INDIRECT("'Student_Record 1'!G" &amp; ROW())="", "", INDIRECT("'Student_Record 1'!G" &amp; ROW()))</f>
        <v/>
      </c>
      <c r="E824" s="8" t="str" cm="1">
        <f t="array" aca="1" ref="E824" ca="1">IF(INDIRECT("'Student_Record 1'!I" &amp; ROW())="", "", INDIRECT("'Student_Record 1'!I" &amp; ROW()))</f>
        <v/>
      </c>
      <c r="F824" s="8" t="str" cm="1">
        <f t="array" aca="1" ref="F824" ca="1">IF(INDIRECT("'Student_Record 1'!O" &amp; ROW())="", "", INDIRECT("'Student_Record 1'!O" &amp; ROW()))</f>
        <v/>
      </c>
      <c r="G824" s="11"/>
      <c r="I824" s="11"/>
      <c r="J824" s="11"/>
      <c r="K824" s="11"/>
      <c r="L824" s="11"/>
      <c r="M824" s="11"/>
      <c r="N824" s="11"/>
      <c r="O824" s="11"/>
      <c r="P824" s="11"/>
      <c r="Q824" s="11"/>
    </row>
    <row r="825" spans="1:17" x14ac:dyDescent="0.25">
      <c r="A825" s="8" t="str" cm="1">
        <f t="array" aca="1" ref="A825" ca="1">IF(INDIRECT("'Student_Record 1'!A" &amp; ROW())="", "", INDIRECT("'Student_Record 1'!A" &amp; ROW()))</f>
        <v/>
      </c>
      <c r="B825" s="8" t="str" cm="1">
        <f t="array" aca="1" ref="B825" ca="1">IF(INDIRECT("'Student_Record 1'!C" &amp; ROW())="", "", INDIRECT("'Student_Record 1'!C" &amp; ROW()))</f>
        <v/>
      </c>
      <c r="C825" s="8" t="str" cm="1">
        <f t="array" aca="1" ref="C825" ca="1">IF(INDIRECT("'Student_Record 1'!E" &amp; ROW())="", "", INDIRECT("'Student_Record 1'!E" &amp; ROW()))</f>
        <v/>
      </c>
      <c r="D825" s="8" t="str" cm="1">
        <f t="array" aca="1" ref="D825" ca="1">IF(INDIRECT("'Student_Record 1'!G" &amp; ROW())="", "", INDIRECT("'Student_Record 1'!G" &amp; ROW()))</f>
        <v/>
      </c>
      <c r="E825" s="8" t="str" cm="1">
        <f t="array" aca="1" ref="E825" ca="1">IF(INDIRECT("'Student_Record 1'!I" &amp; ROW())="", "", INDIRECT("'Student_Record 1'!I" &amp; ROW()))</f>
        <v/>
      </c>
      <c r="F825" s="8" t="str" cm="1">
        <f t="array" aca="1" ref="F825" ca="1">IF(INDIRECT("'Student_Record 1'!O" &amp; ROW())="", "", INDIRECT("'Student_Record 1'!O" &amp; ROW()))</f>
        <v/>
      </c>
      <c r="G825" s="11"/>
      <c r="I825" s="11"/>
      <c r="J825" s="11"/>
      <c r="K825" s="11"/>
      <c r="L825" s="11"/>
      <c r="M825" s="11"/>
      <c r="N825" s="11"/>
      <c r="O825" s="11"/>
      <c r="P825" s="11"/>
      <c r="Q825" s="11"/>
    </row>
    <row r="826" spans="1:17" x14ac:dyDescent="0.25">
      <c r="A826" s="8" t="str" cm="1">
        <f t="array" aca="1" ref="A826" ca="1">IF(INDIRECT("'Student_Record 1'!A" &amp; ROW())="", "", INDIRECT("'Student_Record 1'!A" &amp; ROW()))</f>
        <v/>
      </c>
      <c r="B826" s="8" t="str" cm="1">
        <f t="array" aca="1" ref="B826" ca="1">IF(INDIRECT("'Student_Record 1'!C" &amp; ROW())="", "", INDIRECT("'Student_Record 1'!C" &amp; ROW()))</f>
        <v/>
      </c>
      <c r="C826" s="8" t="str" cm="1">
        <f t="array" aca="1" ref="C826" ca="1">IF(INDIRECT("'Student_Record 1'!E" &amp; ROW())="", "", INDIRECT("'Student_Record 1'!E" &amp; ROW()))</f>
        <v/>
      </c>
      <c r="D826" s="8" t="str" cm="1">
        <f t="array" aca="1" ref="D826" ca="1">IF(INDIRECT("'Student_Record 1'!G" &amp; ROW())="", "", INDIRECT("'Student_Record 1'!G" &amp; ROW()))</f>
        <v/>
      </c>
      <c r="E826" s="8" t="str" cm="1">
        <f t="array" aca="1" ref="E826" ca="1">IF(INDIRECT("'Student_Record 1'!I" &amp; ROW())="", "", INDIRECT("'Student_Record 1'!I" &amp; ROW()))</f>
        <v/>
      </c>
      <c r="F826" s="8" t="str" cm="1">
        <f t="array" aca="1" ref="F826" ca="1">IF(INDIRECT("'Student_Record 1'!O" &amp; ROW())="", "", INDIRECT("'Student_Record 1'!O" &amp; ROW()))</f>
        <v/>
      </c>
      <c r="G826" s="11"/>
      <c r="I826" s="11"/>
      <c r="J826" s="11"/>
      <c r="K826" s="11"/>
      <c r="L826" s="11"/>
      <c r="M826" s="11"/>
      <c r="N826" s="11"/>
      <c r="O826" s="11"/>
      <c r="P826" s="11"/>
      <c r="Q826" s="11"/>
    </row>
    <row r="827" spans="1:17" x14ac:dyDescent="0.25">
      <c r="A827" s="8" t="str" cm="1">
        <f t="array" aca="1" ref="A827" ca="1">IF(INDIRECT("'Student_Record 1'!A" &amp; ROW())="", "", INDIRECT("'Student_Record 1'!A" &amp; ROW()))</f>
        <v/>
      </c>
      <c r="B827" s="8" t="str" cm="1">
        <f t="array" aca="1" ref="B827" ca="1">IF(INDIRECT("'Student_Record 1'!C" &amp; ROW())="", "", INDIRECT("'Student_Record 1'!C" &amp; ROW()))</f>
        <v/>
      </c>
      <c r="C827" s="8" t="str" cm="1">
        <f t="array" aca="1" ref="C827" ca="1">IF(INDIRECT("'Student_Record 1'!E" &amp; ROW())="", "", INDIRECT("'Student_Record 1'!E" &amp; ROW()))</f>
        <v/>
      </c>
      <c r="D827" s="8" t="str" cm="1">
        <f t="array" aca="1" ref="D827" ca="1">IF(INDIRECT("'Student_Record 1'!G" &amp; ROW())="", "", INDIRECT("'Student_Record 1'!G" &amp; ROW()))</f>
        <v/>
      </c>
      <c r="E827" s="8" t="str" cm="1">
        <f t="array" aca="1" ref="E827" ca="1">IF(INDIRECT("'Student_Record 1'!I" &amp; ROW())="", "", INDIRECT("'Student_Record 1'!I" &amp; ROW()))</f>
        <v/>
      </c>
      <c r="F827" s="8" t="str" cm="1">
        <f t="array" aca="1" ref="F827" ca="1">IF(INDIRECT("'Student_Record 1'!O" &amp; ROW())="", "", INDIRECT("'Student_Record 1'!O" &amp; ROW()))</f>
        <v/>
      </c>
      <c r="G827" s="11"/>
      <c r="I827" s="11"/>
      <c r="J827" s="11"/>
      <c r="K827" s="11"/>
      <c r="L827" s="11"/>
      <c r="M827" s="11"/>
      <c r="N827" s="11"/>
      <c r="O827" s="11"/>
      <c r="P827" s="11"/>
      <c r="Q827" s="11"/>
    </row>
    <row r="828" spans="1:17" x14ac:dyDescent="0.25">
      <c r="A828" s="8" t="str" cm="1">
        <f t="array" aca="1" ref="A828" ca="1">IF(INDIRECT("'Student_Record 1'!A" &amp; ROW())="", "", INDIRECT("'Student_Record 1'!A" &amp; ROW()))</f>
        <v/>
      </c>
      <c r="B828" s="8" t="str" cm="1">
        <f t="array" aca="1" ref="B828" ca="1">IF(INDIRECT("'Student_Record 1'!C" &amp; ROW())="", "", INDIRECT("'Student_Record 1'!C" &amp; ROW()))</f>
        <v/>
      </c>
      <c r="C828" s="8" t="str" cm="1">
        <f t="array" aca="1" ref="C828" ca="1">IF(INDIRECT("'Student_Record 1'!E" &amp; ROW())="", "", INDIRECT("'Student_Record 1'!E" &amp; ROW()))</f>
        <v/>
      </c>
      <c r="D828" s="8" t="str" cm="1">
        <f t="array" aca="1" ref="D828" ca="1">IF(INDIRECT("'Student_Record 1'!G" &amp; ROW())="", "", INDIRECT("'Student_Record 1'!G" &amp; ROW()))</f>
        <v/>
      </c>
      <c r="E828" s="8" t="str" cm="1">
        <f t="array" aca="1" ref="E828" ca="1">IF(INDIRECT("'Student_Record 1'!I" &amp; ROW())="", "", INDIRECT("'Student_Record 1'!I" &amp; ROW()))</f>
        <v/>
      </c>
      <c r="F828" s="8" t="str" cm="1">
        <f t="array" aca="1" ref="F828" ca="1">IF(INDIRECT("'Student_Record 1'!O" &amp; ROW())="", "", INDIRECT("'Student_Record 1'!O" &amp; ROW()))</f>
        <v/>
      </c>
      <c r="G828" s="11"/>
      <c r="I828" s="11"/>
      <c r="J828" s="11"/>
      <c r="K828" s="11"/>
      <c r="L828" s="11"/>
      <c r="M828" s="11"/>
      <c r="N828" s="11"/>
      <c r="O828" s="11"/>
      <c r="P828" s="11"/>
      <c r="Q828" s="11"/>
    </row>
    <row r="829" spans="1:17" x14ac:dyDescent="0.25">
      <c r="A829" s="8" t="str" cm="1">
        <f t="array" aca="1" ref="A829" ca="1">IF(INDIRECT("'Student_Record 1'!A" &amp; ROW())="", "", INDIRECT("'Student_Record 1'!A" &amp; ROW()))</f>
        <v/>
      </c>
      <c r="B829" s="8" t="str" cm="1">
        <f t="array" aca="1" ref="B829" ca="1">IF(INDIRECT("'Student_Record 1'!C" &amp; ROW())="", "", INDIRECT("'Student_Record 1'!C" &amp; ROW()))</f>
        <v/>
      </c>
      <c r="C829" s="8" t="str" cm="1">
        <f t="array" aca="1" ref="C829" ca="1">IF(INDIRECT("'Student_Record 1'!E" &amp; ROW())="", "", INDIRECT("'Student_Record 1'!E" &amp; ROW()))</f>
        <v/>
      </c>
      <c r="D829" s="8" t="str" cm="1">
        <f t="array" aca="1" ref="D829" ca="1">IF(INDIRECT("'Student_Record 1'!G" &amp; ROW())="", "", INDIRECT("'Student_Record 1'!G" &amp; ROW()))</f>
        <v/>
      </c>
      <c r="E829" s="8" t="str" cm="1">
        <f t="array" aca="1" ref="E829" ca="1">IF(INDIRECT("'Student_Record 1'!I" &amp; ROW())="", "", INDIRECT("'Student_Record 1'!I" &amp; ROW()))</f>
        <v/>
      </c>
      <c r="F829" s="8" t="str" cm="1">
        <f t="array" aca="1" ref="F829" ca="1">IF(INDIRECT("'Student_Record 1'!O" &amp; ROW())="", "", INDIRECT("'Student_Record 1'!O" &amp; ROW()))</f>
        <v/>
      </c>
      <c r="G829" s="11"/>
      <c r="I829" s="11"/>
      <c r="J829" s="11"/>
      <c r="K829" s="11"/>
      <c r="L829" s="11"/>
      <c r="M829" s="11"/>
      <c r="N829" s="11"/>
      <c r="O829" s="11"/>
      <c r="P829" s="11"/>
      <c r="Q829" s="11"/>
    </row>
    <row r="830" spans="1:17" x14ac:dyDescent="0.25">
      <c r="A830" s="8" t="str" cm="1">
        <f t="array" aca="1" ref="A830" ca="1">IF(INDIRECT("'Student_Record 1'!A" &amp; ROW())="", "", INDIRECT("'Student_Record 1'!A" &amp; ROW()))</f>
        <v/>
      </c>
      <c r="B830" s="8" t="str" cm="1">
        <f t="array" aca="1" ref="B830" ca="1">IF(INDIRECT("'Student_Record 1'!C" &amp; ROW())="", "", INDIRECT("'Student_Record 1'!C" &amp; ROW()))</f>
        <v/>
      </c>
      <c r="C830" s="8" t="str" cm="1">
        <f t="array" aca="1" ref="C830" ca="1">IF(INDIRECT("'Student_Record 1'!E" &amp; ROW())="", "", INDIRECT("'Student_Record 1'!E" &amp; ROW()))</f>
        <v/>
      </c>
      <c r="D830" s="8" t="str" cm="1">
        <f t="array" aca="1" ref="D830" ca="1">IF(INDIRECT("'Student_Record 1'!G" &amp; ROW())="", "", INDIRECT("'Student_Record 1'!G" &amp; ROW()))</f>
        <v/>
      </c>
      <c r="E830" s="8" t="str" cm="1">
        <f t="array" aca="1" ref="E830" ca="1">IF(INDIRECT("'Student_Record 1'!I" &amp; ROW())="", "", INDIRECT("'Student_Record 1'!I" &amp; ROW()))</f>
        <v/>
      </c>
      <c r="F830" s="8" t="str" cm="1">
        <f t="array" aca="1" ref="F830" ca="1">IF(INDIRECT("'Student_Record 1'!O" &amp; ROW())="", "", INDIRECT("'Student_Record 1'!O" &amp; ROW()))</f>
        <v/>
      </c>
      <c r="G830" s="11"/>
      <c r="I830" s="11"/>
      <c r="J830" s="11"/>
      <c r="K830" s="11"/>
      <c r="L830" s="11"/>
      <c r="M830" s="11"/>
      <c r="N830" s="11"/>
      <c r="O830" s="11"/>
      <c r="P830" s="11"/>
      <c r="Q830" s="11"/>
    </row>
    <row r="831" spans="1:17" x14ac:dyDescent="0.25">
      <c r="A831" s="8" t="str" cm="1">
        <f t="array" aca="1" ref="A831" ca="1">IF(INDIRECT("'Student_Record 1'!A" &amp; ROW())="", "", INDIRECT("'Student_Record 1'!A" &amp; ROW()))</f>
        <v/>
      </c>
      <c r="B831" s="8" t="str" cm="1">
        <f t="array" aca="1" ref="B831" ca="1">IF(INDIRECT("'Student_Record 1'!C" &amp; ROW())="", "", INDIRECT("'Student_Record 1'!C" &amp; ROW()))</f>
        <v/>
      </c>
      <c r="C831" s="8" t="str" cm="1">
        <f t="array" aca="1" ref="C831" ca="1">IF(INDIRECT("'Student_Record 1'!E" &amp; ROW())="", "", INDIRECT("'Student_Record 1'!E" &amp; ROW()))</f>
        <v/>
      </c>
      <c r="D831" s="8" t="str" cm="1">
        <f t="array" aca="1" ref="D831" ca="1">IF(INDIRECT("'Student_Record 1'!G" &amp; ROW())="", "", INDIRECT("'Student_Record 1'!G" &amp; ROW()))</f>
        <v/>
      </c>
      <c r="E831" s="8" t="str" cm="1">
        <f t="array" aca="1" ref="E831" ca="1">IF(INDIRECT("'Student_Record 1'!I" &amp; ROW())="", "", INDIRECT("'Student_Record 1'!I" &amp; ROW()))</f>
        <v/>
      </c>
      <c r="F831" s="8" t="str" cm="1">
        <f t="array" aca="1" ref="F831" ca="1">IF(INDIRECT("'Student_Record 1'!O" &amp; ROW())="", "", INDIRECT("'Student_Record 1'!O" &amp; ROW()))</f>
        <v/>
      </c>
      <c r="G831" s="11"/>
      <c r="I831" s="11"/>
      <c r="J831" s="11"/>
      <c r="K831" s="11"/>
      <c r="L831" s="11"/>
      <c r="M831" s="11"/>
      <c r="N831" s="11"/>
      <c r="O831" s="11"/>
      <c r="P831" s="11"/>
      <c r="Q831" s="11"/>
    </row>
    <row r="832" spans="1:17" x14ac:dyDescent="0.25">
      <c r="A832" s="8" t="str" cm="1">
        <f t="array" aca="1" ref="A832" ca="1">IF(INDIRECT("'Student_Record 1'!A" &amp; ROW())="", "", INDIRECT("'Student_Record 1'!A" &amp; ROW()))</f>
        <v/>
      </c>
      <c r="B832" s="8" t="str" cm="1">
        <f t="array" aca="1" ref="B832" ca="1">IF(INDIRECT("'Student_Record 1'!C" &amp; ROW())="", "", INDIRECT("'Student_Record 1'!C" &amp; ROW()))</f>
        <v/>
      </c>
      <c r="C832" s="8" t="str" cm="1">
        <f t="array" aca="1" ref="C832" ca="1">IF(INDIRECT("'Student_Record 1'!E" &amp; ROW())="", "", INDIRECT("'Student_Record 1'!E" &amp; ROW()))</f>
        <v/>
      </c>
      <c r="D832" s="8" t="str" cm="1">
        <f t="array" aca="1" ref="D832" ca="1">IF(INDIRECT("'Student_Record 1'!G" &amp; ROW())="", "", INDIRECT("'Student_Record 1'!G" &amp; ROW()))</f>
        <v/>
      </c>
      <c r="E832" s="8" t="str" cm="1">
        <f t="array" aca="1" ref="E832" ca="1">IF(INDIRECT("'Student_Record 1'!I" &amp; ROW())="", "", INDIRECT("'Student_Record 1'!I" &amp; ROW()))</f>
        <v/>
      </c>
      <c r="F832" s="8" t="str" cm="1">
        <f t="array" aca="1" ref="F832" ca="1">IF(INDIRECT("'Student_Record 1'!O" &amp; ROW())="", "", INDIRECT("'Student_Record 1'!O" &amp; ROW()))</f>
        <v/>
      </c>
      <c r="G832" s="11"/>
      <c r="I832" s="11"/>
      <c r="J832" s="11"/>
      <c r="K832" s="11"/>
      <c r="L832" s="11"/>
      <c r="M832" s="11"/>
      <c r="N832" s="11"/>
      <c r="O832" s="11"/>
      <c r="P832" s="11"/>
      <c r="Q832" s="11"/>
    </row>
    <row r="833" spans="1:17" x14ac:dyDescent="0.25">
      <c r="A833" s="8" t="str" cm="1">
        <f t="array" aca="1" ref="A833" ca="1">IF(INDIRECT("'Student_Record 1'!A" &amp; ROW())="", "", INDIRECT("'Student_Record 1'!A" &amp; ROW()))</f>
        <v/>
      </c>
      <c r="B833" s="8" t="str" cm="1">
        <f t="array" aca="1" ref="B833" ca="1">IF(INDIRECT("'Student_Record 1'!C" &amp; ROW())="", "", INDIRECT("'Student_Record 1'!C" &amp; ROW()))</f>
        <v/>
      </c>
      <c r="C833" s="8" t="str" cm="1">
        <f t="array" aca="1" ref="C833" ca="1">IF(INDIRECT("'Student_Record 1'!E" &amp; ROW())="", "", INDIRECT("'Student_Record 1'!E" &amp; ROW()))</f>
        <v/>
      </c>
      <c r="D833" s="8" t="str" cm="1">
        <f t="array" aca="1" ref="D833" ca="1">IF(INDIRECT("'Student_Record 1'!G" &amp; ROW())="", "", INDIRECT("'Student_Record 1'!G" &amp; ROW()))</f>
        <v/>
      </c>
      <c r="E833" s="8" t="str" cm="1">
        <f t="array" aca="1" ref="E833" ca="1">IF(INDIRECT("'Student_Record 1'!I" &amp; ROW())="", "", INDIRECT("'Student_Record 1'!I" &amp; ROW()))</f>
        <v/>
      </c>
      <c r="F833" s="8" t="str" cm="1">
        <f t="array" aca="1" ref="F833" ca="1">IF(INDIRECT("'Student_Record 1'!O" &amp; ROW())="", "", INDIRECT("'Student_Record 1'!O" &amp; ROW()))</f>
        <v/>
      </c>
      <c r="G833" s="11"/>
      <c r="I833" s="11"/>
      <c r="J833" s="11"/>
      <c r="K833" s="11"/>
      <c r="L833" s="11"/>
      <c r="M833" s="11"/>
      <c r="N833" s="11"/>
      <c r="O833" s="11"/>
      <c r="P833" s="11"/>
      <c r="Q833" s="11"/>
    </row>
    <row r="834" spans="1:17" x14ac:dyDescent="0.25">
      <c r="A834" s="8" t="str" cm="1">
        <f t="array" aca="1" ref="A834" ca="1">IF(INDIRECT("'Student_Record 1'!A" &amp; ROW())="", "", INDIRECT("'Student_Record 1'!A" &amp; ROW()))</f>
        <v/>
      </c>
      <c r="B834" s="8" t="str" cm="1">
        <f t="array" aca="1" ref="B834" ca="1">IF(INDIRECT("'Student_Record 1'!C" &amp; ROW())="", "", INDIRECT("'Student_Record 1'!C" &amp; ROW()))</f>
        <v/>
      </c>
      <c r="C834" s="8" t="str" cm="1">
        <f t="array" aca="1" ref="C834" ca="1">IF(INDIRECT("'Student_Record 1'!E" &amp; ROW())="", "", INDIRECT("'Student_Record 1'!E" &amp; ROW()))</f>
        <v/>
      </c>
      <c r="D834" s="8" t="str" cm="1">
        <f t="array" aca="1" ref="D834" ca="1">IF(INDIRECT("'Student_Record 1'!G" &amp; ROW())="", "", INDIRECT("'Student_Record 1'!G" &amp; ROW()))</f>
        <v/>
      </c>
      <c r="E834" s="8" t="str" cm="1">
        <f t="array" aca="1" ref="E834" ca="1">IF(INDIRECT("'Student_Record 1'!I" &amp; ROW())="", "", INDIRECT("'Student_Record 1'!I" &amp; ROW()))</f>
        <v/>
      </c>
      <c r="F834" s="8" t="str" cm="1">
        <f t="array" aca="1" ref="F834" ca="1">IF(INDIRECT("'Student_Record 1'!O" &amp; ROW())="", "", INDIRECT("'Student_Record 1'!O" &amp; ROW()))</f>
        <v/>
      </c>
      <c r="G834" s="11"/>
      <c r="I834" s="11"/>
      <c r="J834" s="11"/>
      <c r="K834" s="11"/>
      <c r="L834" s="11"/>
      <c r="M834" s="11"/>
      <c r="N834" s="11"/>
      <c r="O834" s="11"/>
      <c r="P834" s="11"/>
      <c r="Q834" s="11"/>
    </row>
    <row r="835" spans="1:17" x14ac:dyDescent="0.25">
      <c r="A835" s="8" t="str" cm="1">
        <f t="array" aca="1" ref="A835" ca="1">IF(INDIRECT("'Student_Record 1'!A" &amp; ROW())="", "", INDIRECT("'Student_Record 1'!A" &amp; ROW()))</f>
        <v/>
      </c>
      <c r="B835" s="8" t="str" cm="1">
        <f t="array" aca="1" ref="B835" ca="1">IF(INDIRECT("'Student_Record 1'!C" &amp; ROW())="", "", INDIRECT("'Student_Record 1'!C" &amp; ROW()))</f>
        <v/>
      </c>
      <c r="C835" s="8" t="str" cm="1">
        <f t="array" aca="1" ref="C835" ca="1">IF(INDIRECT("'Student_Record 1'!E" &amp; ROW())="", "", INDIRECT("'Student_Record 1'!E" &amp; ROW()))</f>
        <v/>
      </c>
      <c r="D835" s="8" t="str" cm="1">
        <f t="array" aca="1" ref="D835" ca="1">IF(INDIRECT("'Student_Record 1'!G" &amp; ROW())="", "", INDIRECT("'Student_Record 1'!G" &amp; ROW()))</f>
        <v/>
      </c>
      <c r="E835" s="8" t="str" cm="1">
        <f t="array" aca="1" ref="E835" ca="1">IF(INDIRECT("'Student_Record 1'!I" &amp; ROW())="", "", INDIRECT("'Student_Record 1'!I" &amp; ROW()))</f>
        <v/>
      </c>
      <c r="F835" s="8" t="str" cm="1">
        <f t="array" aca="1" ref="F835" ca="1">IF(INDIRECT("'Student_Record 1'!O" &amp; ROW())="", "", INDIRECT("'Student_Record 1'!O" &amp; ROW()))</f>
        <v/>
      </c>
      <c r="G835" s="11"/>
      <c r="I835" s="11"/>
      <c r="J835" s="11"/>
      <c r="K835" s="11"/>
      <c r="L835" s="11"/>
      <c r="M835" s="11"/>
      <c r="N835" s="11"/>
      <c r="O835" s="11"/>
      <c r="P835" s="11"/>
      <c r="Q835" s="11"/>
    </row>
    <row r="836" spans="1:17" x14ac:dyDescent="0.25">
      <c r="A836" s="8" t="str" cm="1">
        <f t="array" aca="1" ref="A836" ca="1">IF(INDIRECT("'Student_Record 1'!A" &amp; ROW())="", "", INDIRECT("'Student_Record 1'!A" &amp; ROW()))</f>
        <v/>
      </c>
      <c r="B836" s="8" t="str" cm="1">
        <f t="array" aca="1" ref="B836" ca="1">IF(INDIRECT("'Student_Record 1'!C" &amp; ROW())="", "", INDIRECT("'Student_Record 1'!C" &amp; ROW()))</f>
        <v/>
      </c>
      <c r="C836" s="8" t="str" cm="1">
        <f t="array" aca="1" ref="C836" ca="1">IF(INDIRECT("'Student_Record 1'!E" &amp; ROW())="", "", INDIRECT("'Student_Record 1'!E" &amp; ROW()))</f>
        <v/>
      </c>
      <c r="D836" s="8" t="str" cm="1">
        <f t="array" aca="1" ref="D836" ca="1">IF(INDIRECT("'Student_Record 1'!G" &amp; ROW())="", "", INDIRECT("'Student_Record 1'!G" &amp; ROW()))</f>
        <v/>
      </c>
      <c r="E836" s="8" t="str" cm="1">
        <f t="array" aca="1" ref="E836" ca="1">IF(INDIRECT("'Student_Record 1'!I" &amp; ROW())="", "", INDIRECT("'Student_Record 1'!I" &amp; ROW()))</f>
        <v/>
      </c>
      <c r="F836" s="8" t="str" cm="1">
        <f t="array" aca="1" ref="F836" ca="1">IF(INDIRECT("'Student_Record 1'!O" &amp; ROW())="", "", INDIRECT("'Student_Record 1'!O" &amp; ROW()))</f>
        <v/>
      </c>
      <c r="G836" s="11"/>
      <c r="I836" s="11"/>
      <c r="J836" s="11"/>
      <c r="K836" s="11"/>
      <c r="L836" s="11"/>
      <c r="M836" s="11"/>
      <c r="N836" s="11"/>
      <c r="O836" s="11"/>
      <c r="P836" s="11"/>
      <c r="Q836" s="11"/>
    </row>
    <row r="837" spans="1:17" x14ac:dyDescent="0.25">
      <c r="A837" s="8" t="str" cm="1">
        <f t="array" aca="1" ref="A837" ca="1">IF(INDIRECT("'Student_Record 1'!A" &amp; ROW())="", "", INDIRECT("'Student_Record 1'!A" &amp; ROW()))</f>
        <v/>
      </c>
      <c r="B837" s="8" t="str" cm="1">
        <f t="array" aca="1" ref="B837" ca="1">IF(INDIRECT("'Student_Record 1'!C" &amp; ROW())="", "", INDIRECT("'Student_Record 1'!C" &amp; ROW()))</f>
        <v/>
      </c>
      <c r="C837" s="8" t="str" cm="1">
        <f t="array" aca="1" ref="C837" ca="1">IF(INDIRECT("'Student_Record 1'!E" &amp; ROW())="", "", INDIRECT("'Student_Record 1'!E" &amp; ROW()))</f>
        <v/>
      </c>
      <c r="D837" s="8" t="str" cm="1">
        <f t="array" aca="1" ref="D837" ca="1">IF(INDIRECT("'Student_Record 1'!G" &amp; ROW())="", "", INDIRECT("'Student_Record 1'!G" &amp; ROW()))</f>
        <v/>
      </c>
      <c r="E837" s="8" t="str" cm="1">
        <f t="array" aca="1" ref="E837" ca="1">IF(INDIRECT("'Student_Record 1'!I" &amp; ROW())="", "", INDIRECT("'Student_Record 1'!I" &amp; ROW()))</f>
        <v/>
      </c>
      <c r="F837" s="8" t="str" cm="1">
        <f t="array" aca="1" ref="F837" ca="1">IF(INDIRECT("'Student_Record 1'!O" &amp; ROW())="", "", INDIRECT("'Student_Record 1'!O" &amp; ROW()))</f>
        <v/>
      </c>
      <c r="G837" s="11"/>
      <c r="I837" s="11"/>
      <c r="J837" s="11"/>
      <c r="K837" s="11"/>
      <c r="L837" s="11"/>
      <c r="M837" s="11"/>
      <c r="N837" s="11"/>
      <c r="O837" s="11"/>
      <c r="P837" s="11"/>
      <c r="Q837" s="11"/>
    </row>
    <row r="838" spans="1:17" x14ac:dyDescent="0.25">
      <c r="A838" s="8" t="str" cm="1">
        <f t="array" aca="1" ref="A838" ca="1">IF(INDIRECT("'Student_Record 1'!A" &amp; ROW())="", "", INDIRECT("'Student_Record 1'!A" &amp; ROW()))</f>
        <v/>
      </c>
      <c r="B838" s="8" t="str" cm="1">
        <f t="array" aca="1" ref="B838" ca="1">IF(INDIRECT("'Student_Record 1'!C" &amp; ROW())="", "", INDIRECT("'Student_Record 1'!C" &amp; ROW()))</f>
        <v/>
      </c>
      <c r="C838" s="8" t="str" cm="1">
        <f t="array" aca="1" ref="C838" ca="1">IF(INDIRECT("'Student_Record 1'!E" &amp; ROW())="", "", INDIRECT("'Student_Record 1'!E" &amp; ROW()))</f>
        <v/>
      </c>
      <c r="D838" s="8" t="str" cm="1">
        <f t="array" aca="1" ref="D838" ca="1">IF(INDIRECT("'Student_Record 1'!G" &amp; ROW())="", "", INDIRECT("'Student_Record 1'!G" &amp; ROW()))</f>
        <v/>
      </c>
      <c r="E838" s="8" t="str" cm="1">
        <f t="array" aca="1" ref="E838" ca="1">IF(INDIRECT("'Student_Record 1'!I" &amp; ROW())="", "", INDIRECT("'Student_Record 1'!I" &amp; ROW()))</f>
        <v/>
      </c>
      <c r="F838" s="8" t="str" cm="1">
        <f t="array" aca="1" ref="F838" ca="1">IF(INDIRECT("'Student_Record 1'!O" &amp; ROW())="", "", INDIRECT("'Student_Record 1'!O" &amp; ROW()))</f>
        <v/>
      </c>
      <c r="G838" s="11"/>
      <c r="I838" s="11"/>
      <c r="J838" s="11"/>
      <c r="K838" s="11"/>
      <c r="L838" s="11"/>
      <c r="M838" s="11"/>
      <c r="N838" s="11"/>
      <c r="O838" s="11"/>
      <c r="P838" s="11"/>
      <c r="Q838" s="11"/>
    </row>
    <row r="839" spans="1:17" x14ac:dyDescent="0.25">
      <c r="A839" s="8" t="str" cm="1">
        <f t="array" aca="1" ref="A839" ca="1">IF(INDIRECT("'Student_Record 1'!A" &amp; ROW())="", "", INDIRECT("'Student_Record 1'!A" &amp; ROW()))</f>
        <v/>
      </c>
      <c r="B839" s="8" t="str" cm="1">
        <f t="array" aca="1" ref="B839" ca="1">IF(INDIRECT("'Student_Record 1'!C" &amp; ROW())="", "", INDIRECT("'Student_Record 1'!C" &amp; ROW()))</f>
        <v/>
      </c>
      <c r="C839" s="8" t="str" cm="1">
        <f t="array" aca="1" ref="C839" ca="1">IF(INDIRECT("'Student_Record 1'!E" &amp; ROW())="", "", INDIRECT("'Student_Record 1'!E" &amp; ROW()))</f>
        <v/>
      </c>
      <c r="D839" s="8" t="str" cm="1">
        <f t="array" aca="1" ref="D839" ca="1">IF(INDIRECT("'Student_Record 1'!G" &amp; ROW())="", "", INDIRECT("'Student_Record 1'!G" &amp; ROW()))</f>
        <v/>
      </c>
      <c r="E839" s="8" t="str" cm="1">
        <f t="array" aca="1" ref="E839" ca="1">IF(INDIRECT("'Student_Record 1'!I" &amp; ROW())="", "", INDIRECT("'Student_Record 1'!I" &amp; ROW()))</f>
        <v/>
      </c>
      <c r="F839" s="8" t="str" cm="1">
        <f t="array" aca="1" ref="F839" ca="1">IF(INDIRECT("'Student_Record 1'!O" &amp; ROW())="", "", INDIRECT("'Student_Record 1'!O" &amp; ROW()))</f>
        <v/>
      </c>
      <c r="G839" s="11"/>
      <c r="I839" s="11"/>
      <c r="J839" s="11"/>
      <c r="K839" s="11"/>
      <c r="L839" s="11"/>
      <c r="M839" s="11"/>
      <c r="N839" s="11"/>
      <c r="O839" s="11"/>
      <c r="P839" s="11"/>
      <c r="Q839" s="11"/>
    </row>
    <row r="840" spans="1:17" x14ac:dyDescent="0.25">
      <c r="A840" s="8" t="str" cm="1">
        <f t="array" aca="1" ref="A840" ca="1">IF(INDIRECT("'Student_Record 1'!A" &amp; ROW())="", "", INDIRECT("'Student_Record 1'!A" &amp; ROW()))</f>
        <v/>
      </c>
      <c r="B840" s="8" t="str" cm="1">
        <f t="array" aca="1" ref="B840" ca="1">IF(INDIRECT("'Student_Record 1'!C" &amp; ROW())="", "", INDIRECT("'Student_Record 1'!C" &amp; ROW()))</f>
        <v/>
      </c>
      <c r="C840" s="8" t="str" cm="1">
        <f t="array" aca="1" ref="C840" ca="1">IF(INDIRECT("'Student_Record 1'!E" &amp; ROW())="", "", INDIRECT("'Student_Record 1'!E" &amp; ROW()))</f>
        <v/>
      </c>
      <c r="D840" s="8" t="str" cm="1">
        <f t="array" aca="1" ref="D840" ca="1">IF(INDIRECT("'Student_Record 1'!G" &amp; ROW())="", "", INDIRECT("'Student_Record 1'!G" &amp; ROW()))</f>
        <v/>
      </c>
      <c r="E840" s="8" t="str" cm="1">
        <f t="array" aca="1" ref="E840" ca="1">IF(INDIRECT("'Student_Record 1'!I" &amp; ROW())="", "", INDIRECT("'Student_Record 1'!I" &amp; ROW()))</f>
        <v/>
      </c>
      <c r="F840" s="8" t="str" cm="1">
        <f t="array" aca="1" ref="F840" ca="1">IF(INDIRECT("'Student_Record 1'!O" &amp; ROW())="", "", INDIRECT("'Student_Record 1'!O" &amp; ROW()))</f>
        <v/>
      </c>
      <c r="G840" s="11"/>
      <c r="I840" s="11"/>
      <c r="J840" s="11"/>
      <c r="K840" s="11"/>
      <c r="L840" s="11"/>
      <c r="M840" s="11"/>
      <c r="N840" s="11"/>
      <c r="O840" s="11"/>
      <c r="P840" s="11"/>
      <c r="Q840" s="11"/>
    </row>
    <row r="841" spans="1:17" x14ac:dyDescent="0.25">
      <c r="A841" s="8" t="str" cm="1">
        <f t="array" aca="1" ref="A841" ca="1">IF(INDIRECT("'Student_Record 1'!A" &amp; ROW())="", "", INDIRECT("'Student_Record 1'!A" &amp; ROW()))</f>
        <v/>
      </c>
      <c r="B841" s="8" t="str" cm="1">
        <f t="array" aca="1" ref="B841" ca="1">IF(INDIRECT("'Student_Record 1'!C" &amp; ROW())="", "", INDIRECT("'Student_Record 1'!C" &amp; ROW()))</f>
        <v/>
      </c>
      <c r="C841" s="8" t="str" cm="1">
        <f t="array" aca="1" ref="C841" ca="1">IF(INDIRECT("'Student_Record 1'!E" &amp; ROW())="", "", INDIRECT("'Student_Record 1'!E" &amp; ROW()))</f>
        <v/>
      </c>
      <c r="D841" s="8" t="str" cm="1">
        <f t="array" aca="1" ref="D841" ca="1">IF(INDIRECT("'Student_Record 1'!G" &amp; ROW())="", "", INDIRECT("'Student_Record 1'!G" &amp; ROW()))</f>
        <v/>
      </c>
      <c r="E841" s="8" t="str" cm="1">
        <f t="array" aca="1" ref="E841" ca="1">IF(INDIRECT("'Student_Record 1'!I" &amp; ROW())="", "", INDIRECT("'Student_Record 1'!I" &amp; ROW()))</f>
        <v/>
      </c>
      <c r="F841" s="8" t="str" cm="1">
        <f t="array" aca="1" ref="F841" ca="1">IF(INDIRECT("'Student_Record 1'!O" &amp; ROW())="", "", INDIRECT("'Student_Record 1'!O" &amp; ROW()))</f>
        <v/>
      </c>
      <c r="G841" s="11"/>
      <c r="I841" s="11"/>
      <c r="J841" s="11"/>
      <c r="K841" s="11"/>
      <c r="L841" s="11"/>
      <c r="M841" s="11"/>
      <c r="N841" s="11"/>
      <c r="O841" s="11"/>
      <c r="P841" s="11"/>
      <c r="Q841" s="11"/>
    </row>
    <row r="842" spans="1:17" x14ac:dyDescent="0.25">
      <c r="A842" s="8" t="str" cm="1">
        <f t="array" aca="1" ref="A842" ca="1">IF(INDIRECT("'Student_Record 1'!A" &amp; ROW())="", "", INDIRECT("'Student_Record 1'!A" &amp; ROW()))</f>
        <v/>
      </c>
      <c r="B842" s="8" t="str" cm="1">
        <f t="array" aca="1" ref="B842" ca="1">IF(INDIRECT("'Student_Record 1'!C" &amp; ROW())="", "", INDIRECT("'Student_Record 1'!C" &amp; ROW()))</f>
        <v/>
      </c>
      <c r="C842" s="8" t="str" cm="1">
        <f t="array" aca="1" ref="C842" ca="1">IF(INDIRECT("'Student_Record 1'!E" &amp; ROW())="", "", INDIRECT("'Student_Record 1'!E" &amp; ROW()))</f>
        <v/>
      </c>
      <c r="D842" s="8" t="str" cm="1">
        <f t="array" aca="1" ref="D842" ca="1">IF(INDIRECT("'Student_Record 1'!G" &amp; ROW())="", "", INDIRECT("'Student_Record 1'!G" &amp; ROW()))</f>
        <v/>
      </c>
      <c r="E842" s="8" t="str" cm="1">
        <f t="array" aca="1" ref="E842" ca="1">IF(INDIRECT("'Student_Record 1'!I" &amp; ROW())="", "", INDIRECT("'Student_Record 1'!I" &amp; ROW()))</f>
        <v/>
      </c>
      <c r="F842" s="8" t="str" cm="1">
        <f t="array" aca="1" ref="F842" ca="1">IF(INDIRECT("'Student_Record 1'!O" &amp; ROW())="", "", INDIRECT("'Student_Record 1'!O" &amp; ROW()))</f>
        <v/>
      </c>
      <c r="G842" s="11"/>
      <c r="I842" s="11"/>
      <c r="J842" s="11"/>
      <c r="K842" s="11"/>
      <c r="L842" s="11"/>
      <c r="M842" s="11"/>
      <c r="N842" s="11"/>
      <c r="O842" s="11"/>
      <c r="P842" s="11"/>
      <c r="Q842" s="11"/>
    </row>
    <row r="843" spans="1:17" x14ac:dyDescent="0.25">
      <c r="A843" s="8" t="str" cm="1">
        <f t="array" aca="1" ref="A843" ca="1">IF(INDIRECT("'Student_Record 1'!A" &amp; ROW())="", "", INDIRECT("'Student_Record 1'!A" &amp; ROW()))</f>
        <v/>
      </c>
      <c r="B843" s="8" t="str" cm="1">
        <f t="array" aca="1" ref="B843" ca="1">IF(INDIRECT("'Student_Record 1'!C" &amp; ROW())="", "", INDIRECT("'Student_Record 1'!C" &amp; ROW()))</f>
        <v/>
      </c>
      <c r="C843" s="8" t="str" cm="1">
        <f t="array" aca="1" ref="C843" ca="1">IF(INDIRECT("'Student_Record 1'!E" &amp; ROW())="", "", INDIRECT("'Student_Record 1'!E" &amp; ROW()))</f>
        <v/>
      </c>
      <c r="D843" s="8" t="str" cm="1">
        <f t="array" aca="1" ref="D843" ca="1">IF(INDIRECT("'Student_Record 1'!G" &amp; ROW())="", "", INDIRECT("'Student_Record 1'!G" &amp; ROW()))</f>
        <v/>
      </c>
      <c r="E843" s="8" t="str" cm="1">
        <f t="array" aca="1" ref="E843" ca="1">IF(INDIRECT("'Student_Record 1'!I" &amp; ROW())="", "", INDIRECT("'Student_Record 1'!I" &amp; ROW()))</f>
        <v/>
      </c>
      <c r="F843" s="8" t="str" cm="1">
        <f t="array" aca="1" ref="F843" ca="1">IF(INDIRECT("'Student_Record 1'!O" &amp; ROW())="", "", INDIRECT("'Student_Record 1'!O" &amp; ROW()))</f>
        <v/>
      </c>
      <c r="G843" s="11"/>
      <c r="I843" s="11"/>
      <c r="J843" s="11"/>
      <c r="K843" s="11"/>
      <c r="L843" s="11"/>
      <c r="M843" s="11"/>
      <c r="N843" s="11"/>
      <c r="O843" s="11"/>
      <c r="P843" s="11"/>
      <c r="Q843" s="11"/>
    </row>
    <row r="844" spans="1:17" x14ac:dyDescent="0.25">
      <c r="A844" s="8" t="str" cm="1">
        <f t="array" aca="1" ref="A844" ca="1">IF(INDIRECT("'Student_Record 1'!A" &amp; ROW())="", "", INDIRECT("'Student_Record 1'!A" &amp; ROW()))</f>
        <v/>
      </c>
      <c r="B844" s="8" t="str" cm="1">
        <f t="array" aca="1" ref="B844" ca="1">IF(INDIRECT("'Student_Record 1'!C" &amp; ROW())="", "", INDIRECT("'Student_Record 1'!C" &amp; ROW()))</f>
        <v/>
      </c>
      <c r="C844" s="8" t="str" cm="1">
        <f t="array" aca="1" ref="C844" ca="1">IF(INDIRECT("'Student_Record 1'!E" &amp; ROW())="", "", INDIRECT("'Student_Record 1'!E" &amp; ROW()))</f>
        <v/>
      </c>
      <c r="D844" s="8" t="str" cm="1">
        <f t="array" aca="1" ref="D844" ca="1">IF(INDIRECT("'Student_Record 1'!G" &amp; ROW())="", "", INDIRECT("'Student_Record 1'!G" &amp; ROW()))</f>
        <v/>
      </c>
      <c r="E844" s="8" t="str" cm="1">
        <f t="array" aca="1" ref="E844" ca="1">IF(INDIRECT("'Student_Record 1'!I" &amp; ROW())="", "", INDIRECT("'Student_Record 1'!I" &amp; ROW()))</f>
        <v/>
      </c>
      <c r="F844" s="8" t="str" cm="1">
        <f t="array" aca="1" ref="F844" ca="1">IF(INDIRECT("'Student_Record 1'!O" &amp; ROW())="", "", INDIRECT("'Student_Record 1'!O" &amp; ROW()))</f>
        <v/>
      </c>
      <c r="G844" s="11"/>
      <c r="I844" s="11"/>
      <c r="J844" s="11"/>
      <c r="K844" s="11"/>
      <c r="L844" s="11"/>
      <c r="M844" s="11"/>
      <c r="N844" s="11"/>
      <c r="O844" s="11"/>
      <c r="P844" s="11"/>
      <c r="Q844" s="11"/>
    </row>
    <row r="845" spans="1:17" x14ac:dyDescent="0.25">
      <c r="A845" s="8" t="str" cm="1">
        <f t="array" aca="1" ref="A845" ca="1">IF(INDIRECT("'Student_Record 1'!A" &amp; ROW())="", "", INDIRECT("'Student_Record 1'!A" &amp; ROW()))</f>
        <v/>
      </c>
      <c r="B845" s="8" t="str" cm="1">
        <f t="array" aca="1" ref="B845" ca="1">IF(INDIRECT("'Student_Record 1'!C" &amp; ROW())="", "", INDIRECT("'Student_Record 1'!C" &amp; ROW()))</f>
        <v/>
      </c>
      <c r="C845" s="8" t="str" cm="1">
        <f t="array" aca="1" ref="C845" ca="1">IF(INDIRECT("'Student_Record 1'!E" &amp; ROW())="", "", INDIRECT("'Student_Record 1'!E" &amp; ROW()))</f>
        <v/>
      </c>
      <c r="D845" s="8" t="str" cm="1">
        <f t="array" aca="1" ref="D845" ca="1">IF(INDIRECT("'Student_Record 1'!G" &amp; ROW())="", "", INDIRECT("'Student_Record 1'!G" &amp; ROW()))</f>
        <v/>
      </c>
      <c r="E845" s="8" t="str" cm="1">
        <f t="array" aca="1" ref="E845" ca="1">IF(INDIRECT("'Student_Record 1'!I" &amp; ROW())="", "", INDIRECT("'Student_Record 1'!I" &amp; ROW()))</f>
        <v/>
      </c>
      <c r="F845" s="8" t="str" cm="1">
        <f t="array" aca="1" ref="F845" ca="1">IF(INDIRECT("'Student_Record 1'!O" &amp; ROW())="", "", INDIRECT("'Student_Record 1'!O" &amp; ROW()))</f>
        <v/>
      </c>
      <c r="G845" s="11"/>
      <c r="I845" s="11"/>
      <c r="J845" s="11"/>
      <c r="K845" s="11"/>
      <c r="L845" s="11"/>
      <c r="M845" s="11"/>
      <c r="N845" s="11"/>
      <c r="O845" s="11"/>
      <c r="P845" s="11"/>
      <c r="Q845" s="11"/>
    </row>
    <row r="846" spans="1:17" x14ac:dyDescent="0.25">
      <c r="A846" s="8" t="str" cm="1">
        <f t="array" aca="1" ref="A846" ca="1">IF(INDIRECT("'Student_Record 1'!A" &amp; ROW())="", "", INDIRECT("'Student_Record 1'!A" &amp; ROW()))</f>
        <v/>
      </c>
      <c r="B846" s="8" t="str" cm="1">
        <f t="array" aca="1" ref="B846" ca="1">IF(INDIRECT("'Student_Record 1'!C" &amp; ROW())="", "", INDIRECT("'Student_Record 1'!C" &amp; ROW()))</f>
        <v/>
      </c>
      <c r="C846" s="8" t="str" cm="1">
        <f t="array" aca="1" ref="C846" ca="1">IF(INDIRECT("'Student_Record 1'!E" &amp; ROW())="", "", INDIRECT("'Student_Record 1'!E" &amp; ROW()))</f>
        <v/>
      </c>
      <c r="D846" s="8" t="str" cm="1">
        <f t="array" aca="1" ref="D846" ca="1">IF(INDIRECT("'Student_Record 1'!G" &amp; ROW())="", "", INDIRECT("'Student_Record 1'!G" &amp; ROW()))</f>
        <v/>
      </c>
      <c r="E846" s="8" t="str" cm="1">
        <f t="array" aca="1" ref="E846" ca="1">IF(INDIRECT("'Student_Record 1'!I" &amp; ROW())="", "", INDIRECT("'Student_Record 1'!I" &amp; ROW()))</f>
        <v/>
      </c>
      <c r="F846" s="8" t="str" cm="1">
        <f t="array" aca="1" ref="F846" ca="1">IF(INDIRECT("'Student_Record 1'!O" &amp; ROW())="", "", INDIRECT("'Student_Record 1'!O" &amp; ROW()))</f>
        <v/>
      </c>
      <c r="G846" s="11"/>
      <c r="I846" s="11"/>
      <c r="J846" s="11"/>
      <c r="K846" s="11"/>
      <c r="L846" s="11"/>
      <c r="M846" s="11"/>
      <c r="N846" s="11"/>
      <c r="O846" s="11"/>
      <c r="P846" s="11"/>
      <c r="Q846" s="11"/>
    </row>
    <row r="847" spans="1:17" x14ac:dyDescent="0.25">
      <c r="A847" s="8" t="str" cm="1">
        <f t="array" aca="1" ref="A847" ca="1">IF(INDIRECT("'Student_Record 1'!A" &amp; ROW())="", "", INDIRECT("'Student_Record 1'!A" &amp; ROW()))</f>
        <v/>
      </c>
      <c r="B847" s="8" t="str" cm="1">
        <f t="array" aca="1" ref="B847" ca="1">IF(INDIRECT("'Student_Record 1'!C" &amp; ROW())="", "", INDIRECT("'Student_Record 1'!C" &amp; ROW()))</f>
        <v/>
      </c>
      <c r="C847" s="8" t="str" cm="1">
        <f t="array" aca="1" ref="C847" ca="1">IF(INDIRECT("'Student_Record 1'!E" &amp; ROW())="", "", INDIRECT("'Student_Record 1'!E" &amp; ROW()))</f>
        <v/>
      </c>
      <c r="D847" s="8" t="str" cm="1">
        <f t="array" aca="1" ref="D847" ca="1">IF(INDIRECT("'Student_Record 1'!G" &amp; ROW())="", "", INDIRECT("'Student_Record 1'!G" &amp; ROW()))</f>
        <v/>
      </c>
      <c r="E847" s="8" t="str" cm="1">
        <f t="array" aca="1" ref="E847" ca="1">IF(INDIRECT("'Student_Record 1'!I" &amp; ROW())="", "", INDIRECT("'Student_Record 1'!I" &amp; ROW()))</f>
        <v/>
      </c>
      <c r="F847" s="8" t="str" cm="1">
        <f t="array" aca="1" ref="F847" ca="1">IF(INDIRECT("'Student_Record 1'!O" &amp; ROW())="", "", INDIRECT("'Student_Record 1'!O" &amp; ROW()))</f>
        <v/>
      </c>
      <c r="G847" s="11"/>
      <c r="I847" s="11"/>
      <c r="J847" s="11"/>
      <c r="K847" s="11"/>
      <c r="L847" s="11"/>
      <c r="M847" s="11"/>
      <c r="N847" s="11"/>
      <c r="O847" s="11"/>
      <c r="P847" s="11"/>
      <c r="Q847" s="11"/>
    </row>
    <row r="848" spans="1:17" x14ac:dyDescent="0.25">
      <c r="A848" s="8" t="str" cm="1">
        <f t="array" aca="1" ref="A848" ca="1">IF(INDIRECT("'Student_Record 1'!A" &amp; ROW())="", "", INDIRECT("'Student_Record 1'!A" &amp; ROW()))</f>
        <v/>
      </c>
      <c r="B848" s="8" t="str" cm="1">
        <f t="array" aca="1" ref="B848" ca="1">IF(INDIRECT("'Student_Record 1'!C" &amp; ROW())="", "", INDIRECT("'Student_Record 1'!C" &amp; ROW()))</f>
        <v/>
      </c>
      <c r="C848" s="8" t="str" cm="1">
        <f t="array" aca="1" ref="C848" ca="1">IF(INDIRECT("'Student_Record 1'!E" &amp; ROW())="", "", INDIRECT("'Student_Record 1'!E" &amp; ROW()))</f>
        <v/>
      </c>
      <c r="D848" s="8" t="str" cm="1">
        <f t="array" aca="1" ref="D848" ca="1">IF(INDIRECT("'Student_Record 1'!G" &amp; ROW())="", "", INDIRECT("'Student_Record 1'!G" &amp; ROW()))</f>
        <v/>
      </c>
      <c r="E848" s="8" t="str" cm="1">
        <f t="array" aca="1" ref="E848" ca="1">IF(INDIRECT("'Student_Record 1'!I" &amp; ROW())="", "", INDIRECT("'Student_Record 1'!I" &amp; ROW()))</f>
        <v/>
      </c>
      <c r="F848" s="8" t="str" cm="1">
        <f t="array" aca="1" ref="F848" ca="1">IF(INDIRECT("'Student_Record 1'!O" &amp; ROW())="", "", INDIRECT("'Student_Record 1'!O" &amp; ROW()))</f>
        <v/>
      </c>
      <c r="G848" s="11"/>
      <c r="I848" s="11"/>
      <c r="J848" s="11"/>
      <c r="K848" s="11"/>
      <c r="L848" s="11"/>
      <c r="M848" s="11"/>
      <c r="N848" s="11"/>
      <c r="O848" s="11"/>
      <c r="P848" s="11"/>
      <c r="Q848" s="11"/>
    </row>
    <row r="849" spans="1:17" x14ac:dyDescent="0.25">
      <c r="A849" s="8" t="str" cm="1">
        <f t="array" aca="1" ref="A849" ca="1">IF(INDIRECT("'Student_Record 1'!A" &amp; ROW())="", "", INDIRECT("'Student_Record 1'!A" &amp; ROW()))</f>
        <v/>
      </c>
      <c r="B849" s="8" t="str" cm="1">
        <f t="array" aca="1" ref="B849" ca="1">IF(INDIRECT("'Student_Record 1'!C" &amp; ROW())="", "", INDIRECT("'Student_Record 1'!C" &amp; ROW()))</f>
        <v/>
      </c>
      <c r="C849" s="8" t="str" cm="1">
        <f t="array" aca="1" ref="C849" ca="1">IF(INDIRECT("'Student_Record 1'!E" &amp; ROW())="", "", INDIRECT("'Student_Record 1'!E" &amp; ROW()))</f>
        <v/>
      </c>
      <c r="D849" s="8" t="str" cm="1">
        <f t="array" aca="1" ref="D849" ca="1">IF(INDIRECT("'Student_Record 1'!G" &amp; ROW())="", "", INDIRECT("'Student_Record 1'!G" &amp; ROW()))</f>
        <v/>
      </c>
      <c r="E849" s="8" t="str" cm="1">
        <f t="array" aca="1" ref="E849" ca="1">IF(INDIRECT("'Student_Record 1'!I" &amp; ROW())="", "", INDIRECT("'Student_Record 1'!I" &amp; ROW()))</f>
        <v/>
      </c>
      <c r="F849" s="8" t="str" cm="1">
        <f t="array" aca="1" ref="F849" ca="1">IF(INDIRECT("'Student_Record 1'!O" &amp; ROW())="", "", INDIRECT("'Student_Record 1'!O" &amp; ROW()))</f>
        <v/>
      </c>
      <c r="G849" s="11"/>
      <c r="I849" s="11"/>
      <c r="J849" s="11"/>
      <c r="K849" s="11"/>
      <c r="L849" s="11"/>
      <c r="M849" s="11"/>
      <c r="N849" s="11"/>
      <c r="O849" s="11"/>
      <c r="P849" s="11"/>
      <c r="Q849" s="11"/>
    </row>
    <row r="850" spans="1:17" x14ac:dyDescent="0.25">
      <c r="A850" s="8" t="str" cm="1">
        <f t="array" aca="1" ref="A850" ca="1">IF(INDIRECT("'Student_Record 1'!A" &amp; ROW())="", "", INDIRECT("'Student_Record 1'!A" &amp; ROW()))</f>
        <v/>
      </c>
      <c r="B850" s="8" t="str" cm="1">
        <f t="array" aca="1" ref="B850" ca="1">IF(INDIRECT("'Student_Record 1'!C" &amp; ROW())="", "", INDIRECT("'Student_Record 1'!C" &amp; ROW()))</f>
        <v/>
      </c>
      <c r="C850" s="8" t="str" cm="1">
        <f t="array" aca="1" ref="C850" ca="1">IF(INDIRECT("'Student_Record 1'!E" &amp; ROW())="", "", INDIRECT("'Student_Record 1'!E" &amp; ROW()))</f>
        <v/>
      </c>
      <c r="D850" s="8" t="str" cm="1">
        <f t="array" aca="1" ref="D850" ca="1">IF(INDIRECT("'Student_Record 1'!G" &amp; ROW())="", "", INDIRECT("'Student_Record 1'!G" &amp; ROW()))</f>
        <v/>
      </c>
      <c r="E850" s="8" t="str" cm="1">
        <f t="array" aca="1" ref="E850" ca="1">IF(INDIRECT("'Student_Record 1'!I" &amp; ROW())="", "", INDIRECT("'Student_Record 1'!I" &amp; ROW()))</f>
        <v/>
      </c>
      <c r="F850" s="8" t="str" cm="1">
        <f t="array" aca="1" ref="F850" ca="1">IF(INDIRECT("'Student_Record 1'!O" &amp; ROW())="", "", INDIRECT("'Student_Record 1'!O" &amp; ROW()))</f>
        <v/>
      </c>
      <c r="G850" s="11"/>
      <c r="I850" s="11"/>
      <c r="J850" s="11"/>
      <c r="K850" s="11"/>
      <c r="L850" s="11"/>
      <c r="M850" s="11"/>
      <c r="N850" s="11"/>
      <c r="O850" s="11"/>
      <c r="P850" s="11"/>
      <c r="Q850" s="11"/>
    </row>
    <row r="851" spans="1:17" x14ac:dyDescent="0.25">
      <c r="A851" s="8" t="str" cm="1">
        <f t="array" aca="1" ref="A851" ca="1">IF(INDIRECT("'Student_Record 1'!A" &amp; ROW())="", "", INDIRECT("'Student_Record 1'!A" &amp; ROW()))</f>
        <v/>
      </c>
      <c r="B851" s="8" t="str" cm="1">
        <f t="array" aca="1" ref="B851" ca="1">IF(INDIRECT("'Student_Record 1'!C" &amp; ROW())="", "", INDIRECT("'Student_Record 1'!C" &amp; ROW()))</f>
        <v/>
      </c>
      <c r="C851" s="8" t="str" cm="1">
        <f t="array" aca="1" ref="C851" ca="1">IF(INDIRECT("'Student_Record 1'!E" &amp; ROW())="", "", INDIRECT("'Student_Record 1'!E" &amp; ROW()))</f>
        <v/>
      </c>
      <c r="D851" s="8" t="str" cm="1">
        <f t="array" aca="1" ref="D851" ca="1">IF(INDIRECT("'Student_Record 1'!G" &amp; ROW())="", "", INDIRECT("'Student_Record 1'!G" &amp; ROW()))</f>
        <v/>
      </c>
      <c r="E851" s="8" t="str" cm="1">
        <f t="array" aca="1" ref="E851" ca="1">IF(INDIRECT("'Student_Record 1'!I" &amp; ROW())="", "", INDIRECT("'Student_Record 1'!I" &amp; ROW()))</f>
        <v/>
      </c>
      <c r="F851" s="8" t="str" cm="1">
        <f t="array" aca="1" ref="F851" ca="1">IF(INDIRECT("'Student_Record 1'!O" &amp; ROW())="", "", INDIRECT("'Student_Record 1'!O" &amp; ROW()))</f>
        <v/>
      </c>
      <c r="G851" s="11"/>
      <c r="I851" s="11"/>
      <c r="J851" s="11"/>
      <c r="K851" s="11"/>
      <c r="L851" s="11"/>
      <c r="M851" s="11"/>
      <c r="N851" s="11"/>
      <c r="O851" s="11"/>
      <c r="P851" s="11"/>
      <c r="Q851" s="11"/>
    </row>
    <row r="852" spans="1:17" x14ac:dyDescent="0.25">
      <c r="A852" s="8" t="str" cm="1">
        <f t="array" aca="1" ref="A852" ca="1">IF(INDIRECT("'Student_Record 1'!A" &amp; ROW())="", "", INDIRECT("'Student_Record 1'!A" &amp; ROW()))</f>
        <v/>
      </c>
      <c r="B852" s="8" t="str" cm="1">
        <f t="array" aca="1" ref="B852" ca="1">IF(INDIRECT("'Student_Record 1'!C" &amp; ROW())="", "", INDIRECT("'Student_Record 1'!C" &amp; ROW()))</f>
        <v/>
      </c>
      <c r="C852" s="8" t="str" cm="1">
        <f t="array" aca="1" ref="C852" ca="1">IF(INDIRECT("'Student_Record 1'!E" &amp; ROW())="", "", INDIRECT("'Student_Record 1'!E" &amp; ROW()))</f>
        <v/>
      </c>
      <c r="D852" s="8" t="str" cm="1">
        <f t="array" aca="1" ref="D852" ca="1">IF(INDIRECT("'Student_Record 1'!G" &amp; ROW())="", "", INDIRECT("'Student_Record 1'!G" &amp; ROW()))</f>
        <v/>
      </c>
      <c r="E852" s="8" t="str" cm="1">
        <f t="array" aca="1" ref="E852" ca="1">IF(INDIRECT("'Student_Record 1'!I" &amp; ROW())="", "", INDIRECT("'Student_Record 1'!I" &amp; ROW()))</f>
        <v/>
      </c>
      <c r="F852" s="8" t="str" cm="1">
        <f t="array" aca="1" ref="F852" ca="1">IF(INDIRECT("'Student_Record 1'!O" &amp; ROW())="", "", INDIRECT("'Student_Record 1'!O" &amp; ROW()))</f>
        <v/>
      </c>
      <c r="G852" s="11"/>
      <c r="I852" s="11"/>
      <c r="J852" s="11"/>
      <c r="K852" s="11"/>
      <c r="L852" s="11"/>
      <c r="M852" s="11"/>
      <c r="N852" s="11"/>
      <c r="O852" s="11"/>
      <c r="P852" s="11"/>
      <c r="Q852" s="11"/>
    </row>
    <row r="853" spans="1:17" x14ac:dyDescent="0.25">
      <c r="A853" s="8" t="str" cm="1">
        <f t="array" aca="1" ref="A853" ca="1">IF(INDIRECT("'Student_Record 1'!A" &amp; ROW())="", "", INDIRECT("'Student_Record 1'!A" &amp; ROW()))</f>
        <v/>
      </c>
      <c r="B853" s="8" t="str" cm="1">
        <f t="array" aca="1" ref="B853" ca="1">IF(INDIRECT("'Student_Record 1'!C" &amp; ROW())="", "", INDIRECT("'Student_Record 1'!C" &amp; ROW()))</f>
        <v/>
      </c>
      <c r="C853" s="8" t="str" cm="1">
        <f t="array" aca="1" ref="C853" ca="1">IF(INDIRECT("'Student_Record 1'!E" &amp; ROW())="", "", INDIRECT("'Student_Record 1'!E" &amp; ROW()))</f>
        <v/>
      </c>
      <c r="D853" s="8" t="str" cm="1">
        <f t="array" aca="1" ref="D853" ca="1">IF(INDIRECT("'Student_Record 1'!G" &amp; ROW())="", "", INDIRECT("'Student_Record 1'!G" &amp; ROW()))</f>
        <v/>
      </c>
      <c r="E853" s="8" t="str" cm="1">
        <f t="array" aca="1" ref="E853" ca="1">IF(INDIRECT("'Student_Record 1'!I" &amp; ROW())="", "", INDIRECT("'Student_Record 1'!I" &amp; ROW()))</f>
        <v/>
      </c>
      <c r="F853" s="8" t="str" cm="1">
        <f t="array" aca="1" ref="F853" ca="1">IF(INDIRECT("'Student_Record 1'!O" &amp; ROW())="", "", INDIRECT("'Student_Record 1'!O" &amp; ROW()))</f>
        <v/>
      </c>
      <c r="G853" s="11"/>
      <c r="I853" s="11"/>
      <c r="J853" s="11"/>
      <c r="K853" s="11"/>
      <c r="L853" s="11"/>
      <c r="M853" s="11"/>
      <c r="N853" s="11"/>
      <c r="O853" s="11"/>
      <c r="P853" s="11"/>
      <c r="Q853" s="11"/>
    </row>
    <row r="854" spans="1:17" x14ac:dyDescent="0.25">
      <c r="A854" s="8" t="str" cm="1">
        <f t="array" aca="1" ref="A854" ca="1">IF(INDIRECT("'Student_Record 1'!A" &amp; ROW())="", "", INDIRECT("'Student_Record 1'!A" &amp; ROW()))</f>
        <v/>
      </c>
      <c r="B854" s="8" t="str" cm="1">
        <f t="array" aca="1" ref="B854" ca="1">IF(INDIRECT("'Student_Record 1'!C" &amp; ROW())="", "", INDIRECT("'Student_Record 1'!C" &amp; ROW()))</f>
        <v/>
      </c>
      <c r="C854" s="8" t="str" cm="1">
        <f t="array" aca="1" ref="C854" ca="1">IF(INDIRECT("'Student_Record 1'!E" &amp; ROW())="", "", INDIRECT("'Student_Record 1'!E" &amp; ROW()))</f>
        <v/>
      </c>
      <c r="D854" s="8" t="str" cm="1">
        <f t="array" aca="1" ref="D854" ca="1">IF(INDIRECT("'Student_Record 1'!G" &amp; ROW())="", "", INDIRECT("'Student_Record 1'!G" &amp; ROW()))</f>
        <v/>
      </c>
      <c r="E854" s="8" t="str" cm="1">
        <f t="array" aca="1" ref="E854" ca="1">IF(INDIRECT("'Student_Record 1'!I" &amp; ROW())="", "", INDIRECT("'Student_Record 1'!I" &amp; ROW()))</f>
        <v/>
      </c>
      <c r="F854" s="8" t="str" cm="1">
        <f t="array" aca="1" ref="F854" ca="1">IF(INDIRECT("'Student_Record 1'!O" &amp; ROW())="", "", INDIRECT("'Student_Record 1'!O" &amp; ROW()))</f>
        <v/>
      </c>
      <c r="G854" s="11"/>
      <c r="I854" s="11"/>
      <c r="J854" s="11"/>
      <c r="K854" s="11"/>
      <c r="L854" s="11"/>
      <c r="M854" s="11"/>
      <c r="N854" s="11"/>
      <c r="O854" s="11"/>
      <c r="P854" s="11"/>
      <c r="Q854" s="11"/>
    </row>
    <row r="855" spans="1:17" x14ac:dyDescent="0.25">
      <c r="A855" s="8" t="str" cm="1">
        <f t="array" aca="1" ref="A855" ca="1">IF(INDIRECT("'Student_Record 1'!A" &amp; ROW())="", "", INDIRECT("'Student_Record 1'!A" &amp; ROW()))</f>
        <v/>
      </c>
      <c r="B855" s="8" t="str" cm="1">
        <f t="array" aca="1" ref="B855" ca="1">IF(INDIRECT("'Student_Record 1'!C" &amp; ROW())="", "", INDIRECT("'Student_Record 1'!C" &amp; ROW()))</f>
        <v/>
      </c>
      <c r="C855" s="8" t="str" cm="1">
        <f t="array" aca="1" ref="C855" ca="1">IF(INDIRECT("'Student_Record 1'!E" &amp; ROW())="", "", INDIRECT("'Student_Record 1'!E" &amp; ROW()))</f>
        <v/>
      </c>
      <c r="D855" s="8" t="str" cm="1">
        <f t="array" aca="1" ref="D855" ca="1">IF(INDIRECT("'Student_Record 1'!G" &amp; ROW())="", "", INDIRECT("'Student_Record 1'!G" &amp; ROW()))</f>
        <v/>
      </c>
      <c r="E855" s="8" t="str" cm="1">
        <f t="array" aca="1" ref="E855" ca="1">IF(INDIRECT("'Student_Record 1'!I" &amp; ROW())="", "", INDIRECT("'Student_Record 1'!I" &amp; ROW()))</f>
        <v/>
      </c>
      <c r="F855" s="8" t="str" cm="1">
        <f t="array" aca="1" ref="F855" ca="1">IF(INDIRECT("'Student_Record 1'!O" &amp; ROW())="", "", INDIRECT("'Student_Record 1'!O" &amp; ROW()))</f>
        <v/>
      </c>
      <c r="G855" s="11"/>
      <c r="I855" s="11"/>
      <c r="J855" s="11"/>
      <c r="K855" s="11"/>
      <c r="L855" s="11"/>
      <c r="M855" s="11"/>
      <c r="N855" s="11"/>
      <c r="O855" s="11"/>
      <c r="P855" s="11"/>
      <c r="Q855" s="11"/>
    </row>
    <row r="856" spans="1:17" x14ac:dyDescent="0.25">
      <c r="A856" s="8" t="str" cm="1">
        <f t="array" aca="1" ref="A856" ca="1">IF(INDIRECT("'Student_Record 1'!A" &amp; ROW())="", "", INDIRECT("'Student_Record 1'!A" &amp; ROW()))</f>
        <v/>
      </c>
      <c r="B856" s="8" t="str" cm="1">
        <f t="array" aca="1" ref="B856" ca="1">IF(INDIRECT("'Student_Record 1'!C" &amp; ROW())="", "", INDIRECT("'Student_Record 1'!C" &amp; ROW()))</f>
        <v/>
      </c>
      <c r="C856" s="8" t="str" cm="1">
        <f t="array" aca="1" ref="C856" ca="1">IF(INDIRECT("'Student_Record 1'!E" &amp; ROW())="", "", INDIRECT("'Student_Record 1'!E" &amp; ROW()))</f>
        <v/>
      </c>
      <c r="D856" s="8" t="str" cm="1">
        <f t="array" aca="1" ref="D856" ca="1">IF(INDIRECT("'Student_Record 1'!G" &amp; ROW())="", "", INDIRECT("'Student_Record 1'!G" &amp; ROW()))</f>
        <v/>
      </c>
      <c r="E856" s="8" t="str" cm="1">
        <f t="array" aca="1" ref="E856" ca="1">IF(INDIRECT("'Student_Record 1'!I" &amp; ROW())="", "", INDIRECT("'Student_Record 1'!I" &amp; ROW()))</f>
        <v/>
      </c>
      <c r="F856" s="8" t="str" cm="1">
        <f t="array" aca="1" ref="F856" ca="1">IF(INDIRECT("'Student_Record 1'!O" &amp; ROW())="", "", INDIRECT("'Student_Record 1'!O" &amp; ROW()))</f>
        <v/>
      </c>
      <c r="G856" s="11"/>
      <c r="I856" s="11"/>
      <c r="J856" s="11"/>
      <c r="K856" s="11"/>
      <c r="L856" s="11"/>
      <c r="M856" s="11"/>
      <c r="N856" s="11"/>
      <c r="O856" s="11"/>
      <c r="P856" s="11"/>
      <c r="Q856" s="11"/>
    </row>
    <row r="857" spans="1:17" x14ac:dyDescent="0.25">
      <c r="A857" s="8" t="str" cm="1">
        <f t="array" aca="1" ref="A857" ca="1">IF(INDIRECT("'Student_Record 1'!A" &amp; ROW())="", "", INDIRECT("'Student_Record 1'!A" &amp; ROW()))</f>
        <v/>
      </c>
      <c r="B857" s="8" t="str" cm="1">
        <f t="array" aca="1" ref="B857" ca="1">IF(INDIRECT("'Student_Record 1'!C" &amp; ROW())="", "", INDIRECT("'Student_Record 1'!C" &amp; ROW()))</f>
        <v/>
      </c>
      <c r="C857" s="8" t="str" cm="1">
        <f t="array" aca="1" ref="C857" ca="1">IF(INDIRECT("'Student_Record 1'!E" &amp; ROW())="", "", INDIRECT("'Student_Record 1'!E" &amp; ROW()))</f>
        <v/>
      </c>
      <c r="D857" s="8" t="str" cm="1">
        <f t="array" aca="1" ref="D857" ca="1">IF(INDIRECT("'Student_Record 1'!G" &amp; ROW())="", "", INDIRECT("'Student_Record 1'!G" &amp; ROW()))</f>
        <v/>
      </c>
      <c r="E857" s="8" t="str" cm="1">
        <f t="array" aca="1" ref="E857" ca="1">IF(INDIRECT("'Student_Record 1'!I" &amp; ROW())="", "", INDIRECT("'Student_Record 1'!I" &amp; ROW()))</f>
        <v/>
      </c>
      <c r="F857" s="8" t="str" cm="1">
        <f t="array" aca="1" ref="F857" ca="1">IF(INDIRECT("'Student_Record 1'!O" &amp; ROW())="", "", INDIRECT("'Student_Record 1'!O" &amp; ROW()))</f>
        <v/>
      </c>
      <c r="G857" s="11"/>
      <c r="I857" s="11"/>
      <c r="J857" s="11"/>
      <c r="K857" s="11"/>
      <c r="L857" s="11"/>
      <c r="M857" s="11"/>
      <c r="N857" s="11"/>
      <c r="O857" s="11"/>
      <c r="P857" s="11"/>
      <c r="Q857" s="11"/>
    </row>
    <row r="858" spans="1:17" x14ac:dyDescent="0.25">
      <c r="A858" s="8" t="str" cm="1">
        <f t="array" aca="1" ref="A858" ca="1">IF(INDIRECT("'Student_Record 1'!A" &amp; ROW())="", "", INDIRECT("'Student_Record 1'!A" &amp; ROW()))</f>
        <v/>
      </c>
      <c r="B858" s="8" t="str" cm="1">
        <f t="array" aca="1" ref="B858" ca="1">IF(INDIRECT("'Student_Record 1'!C" &amp; ROW())="", "", INDIRECT("'Student_Record 1'!C" &amp; ROW()))</f>
        <v/>
      </c>
      <c r="C858" s="8" t="str" cm="1">
        <f t="array" aca="1" ref="C858" ca="1">IF(INDIRECT("'Student_Record 1'!E" &amp; ROW())="", "", INDIRECT("'Student_Record 1'!E" &amp; ROW()))</f>
        <v/>
      </c>
      <c r="D858" s="8" t="str" cm="1">
        <f t="array" aca="1" ref="D858" ca="1">IF(INDIRECT("'Student_Record 1'!G" &amp; ROW())="", "", INDIRECT("'Student_Record 1'!G" &amp; ROW()))</f>
        <v/>
      </c>
      <c r="E858" s="8" t="str" cm="1">
        <f t="array" aca="1" ref="E858" ca="1">IF(INDIRECT("'Student_Record 1'!I" &amp; ROW())="", "", INDIRECT("'Student_Record 1'!I" &amp; ROW()))</f>
        <v/>
      </c>
      <c r="F858" s="8" t="str" cm="1">
        <f t="array" aca="1" ref="F858" ca="1">IF(INDIRECT("'Student_Record 1'!O" &amp; ROW())="", "", INDIRECT("'Student_Record 1'!O" &amp; ROW()))</f>
        <v/>
      </c>
      <c r="G858" s="11"/>
      <c r="I858" s="11"/>
      <c r="J858" s="11"/>
      <c r="K858" s="11"/>
      <c r="L858" s="11"/>
      <c r="M858" s="11"/>
      <c r="N858" s="11"/>
      <c r="O858" s="11"/>
      <c r="P858" s="11"/>
      <c r="Q858" s="11"/>
    </row>
    <row r="859" spans="1:17" x14ac:dyDescent="0.25">
      <c r="A859" s="8" t="str" cm="1">
        <f t="array" aca="1" ref="A859" ca="1">IF(INDIRECT("'Student_Record 1'!A" &amp; ROW())="", "", INDIRECT("'Student_Record 1'!A" &amp; ROW()))</f>
        <v/>
      </c>
      <c r="B859" s="8" t="str" cm="1">
        <f t="array" aca="1" ref="B859" ca="1">IF(INDIRECT("'Student_Record 1'!C" &amp; ROW())="", "", INDIRECT("'Student_Record 1'!C" &amp; ROW()))</f>
        <v/>
      </c>
      <c r="C859" s="8" t="str" cm="1">
        <f t="array" aca="1" ref="C859" ca="1">IF(INDIRECT("'Student_Record 1'!E" &amp; ROW())="", "", INDIRECT("'Student_Record 1'!E" &amp; ROW()))</f>
        <v/>
      </c>
      <c r="D859" s="8" t="str" cm="1">
        <f t="array" aca="1" ref="D859" ca="1">IF(INDIRECT("'Student_Record 1'!G" &amp; ROW())="", "", INDIRECT("'Student_Record 1'!G" &amp; ROW()))</f>
        <v/>
      </c>
      <c r="E859" s="8" t="str" cm="1">
        <f t="array" aca="1" ref="E859" ca="1">IF(INDIRECT("'Student_Record 1'!I" &amp; ROW())="", "", INDIRECT("'Student_Record 1'!I" &amp; ROW()))</f>
        <v/>
      </c>
      <c r="F859" s="8" t="str" cm="1">
        <f t="array" aca="1" ref="F859" ca="1">IF(INDIRECT("'Student_Record 1'!O" &amp; ROW())="", "", INDIRECT("'Student_Record 1'!O" &amp; ROW()))</f>
        <v/>
      </c>
      <c r="G859" s="11"/>
      <c r="I859" s="11"/>
      <c r="J859" s="11"/>
      <c r="K859" s="11"/>
      <c r="L859" s="11"/>
      <c r="M859" s="11"/>
      <c r="N859" s="11"/>
      <c r="O859" s="11"/>
      <c r="P859" s="11"/>
      <c r="Q859" s="11"/>
    </row>
    <row r="860" spans="1:17" x14ac:dyDescent="0.25">
      <c r="A860" s="8" t="str" cm="1">
        <f t="array" aca="1" ref="A860" ca="1">IF(INDIRECT("'Student_Record 1'!A" &amp; ROW())="", "", INDIRECT("'Student_Record 1'!A" &amp; ROW()))</f>
        <v/>
      </c>
      <c r="B860" s="8" t="str" cm="1">
        <f t="array" aca="1" ref="B860" ca="1">IF(INDIRECT("'Student_Record 1'!C" &amp; ROW())="", "", INDIRECT("'Student_Record 1'!C" &amp; ROW()))</f>
        <v/>
      </c>
      <c r="C860" s="8" t="str" cm="1">
        <f t="array" aca="1" ref="C860" ca="1">IF(INDIRECT("'Student_Record 1'!E" &amp; ROW())="", "", INDIRECT("'Student_Record 1'!E" &amp; ROW()))</f>
        <v/>
      </c>
      <c r="D860" s="8" t="str" cm="1">
        <f t="array" aca="1" ref="D860" ca="1">IF(INDIRECT("'Student_Record 1'!G" &amp; ROW())="", "", INDIRECT("'Student_Record 1'!G" &amp; ROW()))</f>
        <v/>
      </c>
      <c r="E860" s="8" t="str" cm="1">
        <f t="array" aca="1" ref="E860" ca="1">IF(INDIRECT("'Student_Record 1'!I" &amp; ROW())="", "", INDIRECT("'Student_Record 1'!I" &amp; ROW()))</f>
        <v/>
      </c>
      <c r="F860" s="8" t="str" cm="1">
        <f t="array" aca="1" ref="F860" ca="1">IF(INDIRECT("'Student_Record 1'!O" &amp; ROW())="", "", INDIRECT("'Student_Record 1'!O" &amp; ROW()))</f>
        <v/>
      </c>
      <c r="G860" s="11"/>
      <c r="I860" s="11"/>
      <c r="J860" s="11"/>
      <c r="K860" s="11"/>
      <c r="L860" s="11"/>
      <c r="M860" s="11"/>
      <c r="N860" s="11"/>
      <c r="O860" s="11"/>
      <c r="P860" s="11"/>
      <c r="Q860" s="11"/>
    </row>
    <row r="861" spans="1:17" x14ac:dyDescent="0.25">
      <c r="A861" s="8" t="str" cm="1">
        <f t="array" aca="1" ref="A861" ca="1">IF(INDIRECT("'Student_Record 1'!A" &amp; ROW())="", "", INDIRECT("'Student_Record 1'!A" &amp; ROW()))</f>
        <v/>
      </c>
      <c r="B861" s="8" t="str" cm="1">
        <f t="array" aca="1" ref="B861" ca="1">IF(INDIRECT("'Student_Record 1'!C" &amp; ROW())="", "", INDIRECT("'Student_Record 1'!C" &amp; ROW()))</f>
        <v/>
      </c>
      <c r="C861" s="8" t="str" cm="1">
        <f t="array" aca="1" ref="C861" ca="1">IF(INDIRECT("'Student_Record 1'!E" &amp; ROW())="", "", INDIRECT("'Student_Record 1'!E" &amp; ROW()))</f>
        <v/>
      </c>
      <c r="D861" s="8" t="str" cm="1">
        <f t="array" aca="1" ref="D861" ca="1">IF(INDIRECT("'Student_Record 1'!G" &amp; ROW())="", "", INDIRECT("'Student_Record 1'!G" &amp; ROW()))</f>
        <v/>
      </c>
      <c r="E861" s="8" t="str" cm="1">
        <f t="array" aca="1" ref="E861" ca="1">IF(INDIRECT("'Student_Record 1'!I" &amp; ROW())="", "", INDIRECT("'Student_Record 1'!I" &amp; ROW()))</f>
        <v/>
      </c>
      <c r="F861" s="8" t="str" cm="1">
        <f t="array" aca="1" ref="F861" ca="1">IF(INDIRECT("'Student_Record 1'!O" &amp; ROW())="", "", INDIRECT("'Student_Record 1'!O" &amp; ROW()))</f>
        <v/>
      </c>
      <c r="G861" s="11"/>
      <c r="I861" s="11"/>
      <c r="J861" s="11"/>
      <c r="K861" s="11"/>
      <c r="L861" s="11"/>
      <c r="M861" s="11"/>
      <c r="N861" s="11"/>
      <c r="O861" s="11"/>
      <c r="P861" s="11"/>
      <c r="Q861" s="11"/>
    </row>
    <row r="862" spans="1:17" x14ac:dyDescent="0.25">
      <c r="A862" s="8" t="str" cm="1">
        <f t="array" aca="1" ref="A862" ca="1">IF(INDIRECT("'Student_Record 1'!A" &amp; ROW())="", "", INDIRECT("'Student_Record 1'!A" &amp; ROW()))</f>
        <v/>
      </c>
      <c r="B862" s="8" t="str" cm="1">
        <f t="array" aca="1" ref="B862" ca="1">IF(INDIRECT("'Student_Record 1'!C" &amp; ROW())="", "", INDIRECT("'Student_Record 1'!C" &amp; ROW()))</f>
        <v/>
      </c>
      <c r="C862" s="8" t="str" cm="1">
        <f t="array" aca="1" ref="C862" ca="1">IF(INDIRECT("'Student_Record 1'!E" &amp; ROW())="", "", INDIRECT("'Student_Record 1'!E" &amp; ROW()))</f>
        <v/>
      </c>
      <c r="D862" s="8" t="str" cm="1">
        <f t="array" aca="1" ref="D862" ca="1">IF(INDIRECT("'Student_Record 1'!G" &amp; ROW())="", "", INDIRECT("'Student_Record 1'!G" &amp; ROW()))</f>
        <v/>
      </c>
      <c r="E862" s="8" t="str" cm="1">
        <f t="array" aca="1" ref="E862" ca="1">IF(INDIRECT("'Student_Record 1'!I" &amp; ROW())="", "", INDIRECT("'Student_Record 1'!I" &amp; ROW()))</f>
        <v/>
      </c>
      <c r="F862" s="8" t="str" cm="1">
        <f t="array" aca="1" ref="F862" ca="1">IF(INDIRECT("'Student_Record 1'!O" &amp; ROW())="", "", INDIRECT("'Student_Record 1'!O" &amp; ROW()))</f>
        <v/>
      </c>
      <c r="G862" s="11"/>
      <c r="I862" s="11"/>
      <c r="J862" s="11"/>
      <c r="K862" s="11"/>
      <c r="L862" s="11"/>
      <c r="M862" s="11"/>
      <c r="N862" s="11"/>
      <c r="O862" s="11"/>
      <c r="P862" s="11"/>
      <c r="Q862" s="11"/>
    </row>
    <row r="863" spans="1:17" x14ac:dyDescent="0.25">
      <c r="A863" s="8" t="str" cm="1">
        <f t="array" aca="1" ref="A863" ca="1">IF(INDIRECT("'Student_Record 1'!A" &amp; ROW())="", "", INDIRECT("'Student_Record 1'!A" &amp; ROW()))</f>
        <v/>
      </c>
      <c r="B863" s="8" t="str" cm="1">
        <f t="array" aca="1" ref="B863" ca="1">IF(INDIRECT("'Student_Record 1'!C" &amp; ROW())="", "", INDIRECT("'Student_Record 1'!C" &amp; ROW()))</f>
        <v/>
      </c>
      <c r="C863" s="8" t="str" cm="1">
        <f t="array" aca="1" ref="C863" ca="1">IF(INDIRECT("'Student_Record 1'!E" &amp; ROW())="", "", INDIRECT("'Student_Record 1'!E" &amp; ROW()))</f>
        <v/>
      </c>
      <c r="D863" s="8" t="str" cm="1">
        <f t="array" aca="1" ref="D863" ca="1">IF(INDIRECT("'Student_Record 1'!G" &amp; ROW())="", "", INDIRECT("'Student_Record 1'!G" &amp; ROW()))</f>
        <v/>
      </c>
      <c r="E863" s="8" t="str" cm="1">
        <f t="array" aca="1" ref="E863" ca="1">IF(INDIRECT("'Student_Record 1'!I" &amp; ROW())="", "", INDIRECT("'Student_Record 1'!I" &amp; ROW()))</f>
        <v/>
      </c>
      <c r="F863" s="8" t="str" cm="1">
        <f t="array" aca="1" ref="F863" ca="1">IF(INDIRECT("'Student_Record 1'!O" &amp; ROW())="", "", INDIRECT("'Student_Record 1'!O" &amp; ROW()))</f>
        <v/>
      </c>
      <c r="G863" s="11"/>
      <c r="I863" s="11"/>
      <c r="J863" s="11"/>
      <c r="K863" s="11"/>
      <c r="L863" s="11"/>
      <c r="M863" s="11"/>
      <c r="N863" s="11"/>
      <c r="O863" s="11"/>
      <c r="P863" s="11"/>
      <c r="Q863" s="11"/>
    </row>
    <row r="864" spans="1:17" x14ac:dyDescent="0.25">
      <c r="A864" s="8" t="str" cm="1">
        <f t="array" aca="1" ref="A864" ca="1">IF(INDIRECT("'Student_Record 1'!A" &amp; ROW())="", "", INDIRECT("'Student_Record 1'!A" &amp; ROW()))</f>
        <v/>
      </c>
      <c r="B864" s="8" t="str" cm="1">
        <f t="array" aca="1" ref="B864" ca="1">IF(INDIRECT("'Student_Record 1'!C" &amp; ROW())="", "", INDIRECT("'Student_Record 1'!C" &amp; ROW()))</f>
        <v/>
      </c>
      <c r="C864" s="8" t="str" cm="1">
        <f t="array" aca="1" ref="C864" ca="1">IF(INDIRECT("'Student_Record 1'!E" &amp; ROW())="", "", INDIRECT("'Student_Record 1'!E" &amp; ROW()))</f>
        <v/>
      </c>
      <c r="D864" s="8" t="str" cm="1">
        <f t="array" aca="1" ref="D864" ca="1">IF(INDIRECT("'Student_Record 1'!G" &amp; ROW())="", "", INDIRECT("'Student_Record 1'!G" &amp; ROW()))</f>
        <v/>
      </c>
      <c r="E864" s="8" t="str" cm="1">
        <f t="array" aca="1" ref="E864" ca="1">IF(INDIRECT("'Student_Record 1'!I" &amp; ROW())="", "", INDIRECT("'Student_Record 1'!I" &amp; ROW()))</f>
        <v/>
      </c>
      <c r="F864" s="8" t="str" cm="1">
        <f t="array" aca="1" ref="F864" ca="1">IF(INDIRECT("'Student_Record 1'!O" &amp; ROW())="", "", INDIRECT("'Student_Record 1'!O" &amp; ROW()))</f>
        <v/>
      </c>
      <c r="G864" s="11"/>
      <c r="I864" s="11"/>
      <c r="J864" s="11"/>
      <c r="K864" s="11"/>
      <c r="L864" s="11"/>
      <c r="M864" s="11"/>
      <c r="N864" s="11"/>
      <c r="O864" s="11"/>
      <c r="P864" s="11"/>
      <c r="Q864" s="11"/>
    </row>
    <row r="865" spans="1:17" x14ac:dyDescent="0.25">
      <c r="A865" s="8" t="str" cm="1">
        <f t="array" aca="1" ref="A865" ca="1">IF(INDIRECT("'Student_Record 1'!A" &amp; ROW())="", "", INDIRECT("'Student_Record 1'!A" &amp; ROW()))</f>
        <v/>
      </c>
      <c r="B865" s="8" t="str" cm="1">
        <f t="array" aca="1" ref="B865" ca="1">IF(INDIRECT("'Student_Record 1'!C" &amp; ROW())="", "", INDIRECT("'Student_Record 1'!C" &amp; ROW()))</f>
        <v/>
      </c>
      <c r="C865" s="8" t="str" cm="1">
        <f t="array" aca="1" ref="C865" ca="1">IF(INDIRECT("'Student_Record 1'!E" &amp; ROW())="", "", INDIRECT("'Student_Record 1'!E" &amp; ROW()))</f>
        <v/>
      </c>
      <c r="D865" s="8" t="str" cm="1">
        <f t="array" aca="1" ref="D865" ca="1">IF(INDIRECT("'Student_Record 1'!G" &amp; ROW())="", "", INDIRECT("'Student_Record 1'!G" &amp; ROW()))</f>
        <v/>
      </c>
      <c r="E865" s="8" t="str" cm="1">
        <f t="array" aca="1" ref="E865" ca="1">IF(INDIRECT("'Student_Record 1'!I" &amp; ROW())="", "", INDIRECT("'Student_Record 1'!I" &amp; ROW()))</f>
        <v/>
      </c>
      <c r="F865" s="8" t="str" cm="1">
        <f t="array" aca="1" ref="F865" ca="1">IF(INDIRECT("'Student_Record 1'!O" &amp; ROW())="", "", INDIRECT("'Student_Record 1'!O" &amp; ROW()))</f>
        <v/>
      </c>
      <c r="G865" s="11"/>
      <c r="I865" s="11"/>
      <c r="J865" s="11"/>
      <c r="K865" s="11"/>
      <c r="L865" s="11"/>
      <c r="M865" s="11"/>
      <c r="N865" s="11"/>
      <c r="O865" s="11"/>
      <c r="P865" s="11"/>
      <c r="Q865" s="11"/>
    </row>
    <row r="866" spans="1:17" x14ac:dyDescent="0.25">
      <c r="A866" s="8" t="str" cm="1">
        <f t="array" aca="1" ref="A866" ca="1">IF(INDIRECT("'Student_Record 1'!A" &amp; ROW())="", "", INDIRECT("'Student_Record 1'!A" &amp; ROW()))</f>
        <v/>
      </c>
      <c r="B866" s="8" t="str" cm="1">
        <f t="array" aca="1" ref="B866" ca="1">IF(INDIRECT("'Student_Record 1'!C" &amp; ROW())="", "", INDIRECT("'Student_Record 1'!C" &amp; ROW()))</f>
        <v/>
      </c>
      <c r="C866" s="8" t="str" cm="1">
        <f t="array" aca="1" ref="C866" ca="1">IF(INDIRECT("'Student_Record 1'!E" &amp; ROW())="", "", INDIRECT("'Student_Record 1'!E" &amp; ROW()))</f>
        <v/>
      </c>
      <c r="D866" s="8" t="str" cm="1">
        <f t="array" aca="1" ref="D866" ca="1">IF(INDIRECT("'Student_Record 1'!G" &amp; ROW())="", "", INDIRECT("'Student_Record 1'!G" &amp; ROW()))</f>
        <v/>
      </c>
      <c r="E866" s="8" t="str" cm="1">
        <f t="array" aca="1" ref="E866" ca="1">IF(INDIRECT("'Student_Record 1'!I" &amp; ROW())="", "", INDIRECT("'Student_Record 1'!I" &amp; ROW()))</f>
        <v/>
      </c>
      <c r="F866" s="8" t="str" cm="1">
        <f t="array" aca="1" ref="F866" ca="1">IF(INDIRECT("'Student_Record 1'!O" &amp; ROW())="", "", INDIRECT("'Student_Record 1'!O" &amp; ROW()))</f>
        <v/>
      </c>
      <c r="G866" s="11"/>
      <c r="I866" s="11"/>
      <c r="J866" s="11"/>
      <c r="K866" s="11"/>
      <c r="L866" s="11"/>
      <c r="M866" s="11"/>
      <c r="N866" s="11"/>
      <c r="O866" s="11"/>
      <c r="P866" s="11"/>
      <c r="Q866" s="11"/>
    </row>
    <row r="867" spans="1:17" x14ac:dyDescent="0.25">
      <c r="A867" s="8" t="str" cm="1">
        <f t="array" aca="1" ref="A867" ca="1">IF(INDIRECT("'Student_Record 1'!A" &amp; ROW())="", "", INDIRECT("'Student_Record 1'!A" &amp; ROW()))</f>
        <v/>
      </c>
      <c r="B867" s="8" t="str" cm="1">
        <f t="array" aca="1" ref="B867" ca="1">IF(INDIRECT("'Student_Record 1'!C" &amp; ROW())="", "", INDIRECT("'Student_Record 1'!C" &amp; ROW()))</f>
        <v/>
      </c>
      <c r="C867" s="8" t="str" cm="1">
        <f t="array" aca="1" ref="C867" ca="1">IF(INDIRECT("'Student_Record 1'!E" &amp; ROW())="", "", INDIRECT("'Student_Record 1'!E" &amp; ROW()))</f>
        <v/>
      </c>
      <c r="D867" s="8" t="str" cm="1">
        <f t="array" aca="1" ref="D867" ca="1">IF(INDIRECT("'Student_Record 1'!G" &amp; ROW())="", "", INDIRECT("'Student_Record 1'!G" &amp; ROW()))</f>
        <v/>
      </c>
      <c r="E867" s="8" t="str" cm="1">
        <f t="array" aca="1" ref="E867" ca="1">IF(INDIRECT("'Student_Record 1'!I" &amp; ROW())="", "", INDIRECT("'Student_Record 1'!I" &amp; ROW()))</f>
        <v/>
      </c>
      <c r="F867" s="8" t="str" cm="1">
        <f t="array" aca="1" ref="F867" ca="1">IF(INDIRECT("'Student_Record 1'!O" &amp; ROW())="", "", INDIRECT("'Student_Record 1'!O" &amp; ROW()))</f>
        <v/>
      </c>
      <c r="G867" s="11"/>
      <c r="I867" s="11"/>
      <c r="J867" s="11"/>
      <c r="K867" s="11"/>
      <c r="L867" s="11"/>
      <c r="M867" s="11"/>
      <c r="N867" s="11"/>
      <c r="O867" s="11"/>
      <c r="P867" s="11"/>
      <c r="Q867" s="11"/>
    </row>
    <row r="868" spans="1:17" x14ac:dyDescent="0.25">
      <c r="A868" s="8" t="str" cm="1">
        <f t="array" aca="1" ref="A868" ca="1">IF(INDIRECT("'Student_Record 1'!A" &amp; ROW())="", "", INDIRECT("'Student_Record 1'!A" &amp; ROW()))</f>
        <v/>
      </c>
      <c r="B868" s="8" t="str" cm="1">
        <f t="array" aca="1" ref="B868" ca="1">IF(INDIRECT("'Student_Record 1'!C" &amp; ROW())="", "", INDIRECT("'Student_Record 1'!C" &amp; ROW()))</f>
        <v/>
      </c>
      <c r="C868" s="8" t="str" cm="1">
        <f t="array" aca="1" ref="C868" ca="1">IF(INDIRECT("'Student_Record 1'!E" &amp; ROW())="", "", INDIRECT("'Student_Record 1'!E" &amp; ROW()))</f>
        <v/>
      </c>
      <c r="D868" s="8" t="str" cm="1">
        <f t="array" aca="1" ref="D868" ca="1">IF(INDIRECT("'Student_Record 1'!G" &amp; ROW())="", "", INDIRECT("'Student_Record 1'!G" &amp; ROW()))</f>
        <v/>
      </c>
      <c r="E868" s="8" t="str" cm="1">
        <f t="array" aca="1" ref="E868" ca="1">IF(INDIRECT("'Student_Record 1'!I" &amp; ROW())="", "", INDIRECT("'Student_Record 1'!I" &amp; ROW()))</f>
        <v/>
      </c>
      <c r="F868" s="8" t="str" cm="1">
        <f t="array" aca="1" ref="F868" ca="1">IF(INDIRECT("'Student_Record 1'!O" &amp; ROW())="", "", INDIRECT("'Student_Record 1'!O" &amp; ROW()))</f>
        <v/>
      </c>
      <c r="G868" s="11"/>
      <c r="I868" s="11"/>
      <c r="J868" s="11"/>
      <c r="K868" s="11"/>
      <c r="L868" s="11"/>
      <c r="M868" s="11"/>
      <c r="N868" s="11"/>
      <c r="O868" s="11"/>
      <c r="P868" s="11"/>
      <c r="Q868" s="11"/>
    </row>
    <row r="869" spans="1:17" x14ac:dyDescent="0.25">
      <c r="A869" s="8" t="str" cm="1">
        <f t="array" aca="1" ref="A869" ca="1">IF(INDIRECT("'Student_Record 1'!A" &amp; ROW())="", "", INDIRECT("'Student_Record 1'!A" &amp; ROW()))</f>
        <v/>
      </c>
      <c r="B869" s="8" t="str" cm="1">
        <f t="array" aca="1" ref="B869" ca="1">IF(INDIRECT("'Student_Record 1'!C" &amp; ROW())="", "", INDIRECT("'Student_Record 1'!C" &amp; ROW()))</f>
        <v/>
      </c>
      <c r="C869" s="8" t="str" cm="1">
        <f t="array" aca="1" ref="C869" ca="1">IF(INDIRECT("'Student_Record 1'!E" &amp; ROW())="", "", INDIRECT("'Student_Record 1'!E" &amp; ROW()))</f>
        <v/>
      </c>
      <c r="D869" s="8" t="str" cm="1">
        <f t="array" aca="1" ref="D869" ca="1">IF(INDIRECT("'Student_Record 1'!G" &amp; ROW())="", "", INDIRECT("'Student_Record 1'!G" &amp; ROW()))</f>
        <v/>
      </c>
      <c r="E869" s="8" t="str" cm="1">
        <f t="array" aca="1" ref="E869" ca="1">IF(INDIRECT("'Student_Record 1'!I" &amp; ROW())="", "", INDIRECT("'Student_Record 1'!I" &amp; ROW()))</f>
        <v/>
      </c>
      <c r="F869" s="8" t="str" cm="1">
        <f t="array" aca="1" ref="F869" ca="1">IF(INDIRECT("'Student_Record 1'!O" &amp; ROW())="", "", INDIRECT("'Student_Record 1'!O" &amp; ROW()))</f>
        <v/>
      </c>
      <c r="G869" s="11"/>
      <c r="I869" s="11"/>
      <c r="J869" s="11"/>
      <c r="K869" s="11"/>
      <c r="L869" s="11"/>
      <c r="M869" s="11"/>
      <c r="N869" s="11"/>
      <c r="O869" s="11"/>
      <c r="P869" s="11"/>
      <c r="Q869" s="11"/>
    </row>
    <row r="870" spans="1:17" x14ac:dyDescent="0.25">
      <c r="A870" s="8" t="str" cm="1">
        <f t="array" aca="1" ref="A870" ca="1">IF(INDIRECT("'Student_Record 1'!A" &amp; ROW())="", "", INDIRECT("'Student_Record 1'!A" &amp; ROW()))</f>
        <v/>
      </c>
      <c r="B870" s="8" t="str" cm="1">
        <f t="array" aca="1" ref="B870" ca="1">IF(INDIRECT("'Student_Record 1'!C" &amp; ROW())="", "", INDIRECT("'Student_Record 1'!C" &amp; ROW()))</f>
        <v/>
      </c>
      <c r="C870" s="8" t="str" cm="1">
        <f t="array" aca="1" ref="C870" ca="1">IF(INDIRECT("'Student_Record 1'!E" &amp; ROW())="", "", INDIRECT("'Student_Record 1'!E" &amp; ROW()))</f>
        <v/>
      </c>
      <c r="D870" s="8" t="str" cm="1">
        <f t="array" aca="1" ref="D870" ca="1">IF(INDIRECT("'Student_Record 1'!G" &amp; ROW())="", "", INDIRECT("'Student_Record 1'!G" &amp; ROW()))</f>
        <v/>
      </c>
      <c r="E870" s="8" t="str" cm="1">
        <f t="array" aca="1" ref="E870" ca="1">IF(INDIRECT("'Student_Record 1'!I" &amp; ROW())="", "", INDIRECT("'Student_Record 1'!I" &amp; ROW()))</f>
        <v/>
      </c>
      <c r="F870" s="8" t="str" cm="1">
        <f t="array" aca="1" ref="F870" ca="1">IF(INDIRECT("'Student_Record 1'!O" &amp; ROW())="", "", INDIRECT("'Student_Record 1'!O" &amp; ROW()))</f>
        <v/>
      </c>
      <c r="G870" s="11"/>
      <c r="I870" s="11"/>
      <c r="J870" s="11"/>
      <c r="K870" s="11"/>
      <c r="L870" s="11"/>
      <c r="M870" s="11"/>
      <c r="N870" s="11"/>
      <c r="O870" s="11"/>
      <c r="P870" s="11"/>
      <c r="Q870" s="11"/>
    </row>
    <row r="871" spans="1:17" x14ac:dyDescent="0.25">
      <c r="A871" s="8" t="str" cm="1">
        <f t="array" aca="1" ref="A871" ca="1">IF(INDIRECT("'Student_Record 1'!A" &amp; ROW())="", "", INDIRECT("'Student_Record 1'!A" &amp; ROW()))</f>
        <v/>
      </c>
      <c r="B871" s="8" t="str" cm="1">
        <f t="array" aca="1" ref="B871" ca="1">IF(INDIRECT("'Student_Record 1'!C" &amp; ROW())="", "", INDIRECT("'Student_Record 1'!C" &amp; ROW()))</f>
        <v/>
      </c>
      <c r="C871" s="8" t="str" cm="1">
        <f t="array" aca="1" ref="C871" ca="1">IF(INDIRECT("'Student_Record 1'!E" &amp; ROW())="", "", INDIRECT("'Student_Record 1'!E" &amp; ROW()))</f>
        <v/>
      </c>
      <c r="D871" s="8" t="str" cm="1">
        <f t="array" aca="1" ref="D871" ca="1">IF(INDIRECT("'Student_Record 1'!G" &amp; ROW())="", "", INDIRECT("'Student_Record 1'!G" &amp; ROW()))</f>
        <v/>
      </c>
      <c r="E871" s="8" t="str" cm="1">
        <f t="array" aca="1" ref="E871" ca="1">IF(INDIRECT("'Student_Record 1'!I" &amp; ROW())="", "", INDIRECT("'Student_Record 1'!I" &amp; ROW()))</f>
        <v/>
      </c>
      <c r="F871" s="8" t="str" cm="1">
        <f t="array" aca="1" ref="F871" ca="1">IF(INDIRECT("'Student_Record 1'!O" &amp; ROW())="", "", INDIRECT("'Student_Record 1'!O" &amp; ROW()))</f>
        <v/>
      </c>
      <c r="G871" s="11"/>
      <c r="I871" s="11"/>
      <c r="J871" s="11"/>
      <c r="K871" s="11"/>
      <c r="L871" s="11"/>
      <c r="M871" s="11"/>
      <c r="N871" s="11"/>
      <c r="O871" s="11"/>
      <c r="P871" s="11"/>
      <c r="Q871" s="11"/>
    </row>
    <row r="872" spans="1:17" x14ac:dyDescent="0.25">
      <c r="A872" s="8" t="str" cm="1">
        <f t="array" aca="1" ref="A872" ca="1">IF(INDIRECT("'Student_Record 1'!A" &amp; ROW())="", "", INDIRECT("'Student_Record 1'!A" &amp; ROW()))</f>
        <v/>
      </c>
      <c r="B872" s="8" t="str" cm="1">
        <f t="array" aca="1" ref="B872" ca="1">IF(INDIRECT("'Student_Record 1'!C" &amp; ROW())="", "", INDIRECT("'Student_Record 1'!C" &amp; ROW()))</f>
        <v/>
      </c>
      <c r="C872" s="8" t="str" cm="1">
        <f t="array" aca="1" ref="C872" ca="1">IF(INDIRECT("'Student_Record 1'!E" &amp; ROW())="", "", INDIRECT("'Student_Record 1'!E" &amp; ROW()))</f>
        <v/>
      </c>
      <c r="D872" s="8" t="str" cm="1">
        <f t="array" aca="1" ref="D872" ca="1">IF(INDIRECT("'Student_Record 1'!G" &amp; ROW())="", "", INDIRECT("'Student_Record 1'!G" &amp; ROW()))</f>
        <v/>
      </c>
      <c r="E872" s="8" t="str" cm="1">
        <f t="array" aca="1" ref="E872" ca="1">IF(INDIRECT("'Student_Record 1'!I" &amp; ROW())="", "", INDIRECT("'Student_Record 1'!I" &amp; ROW()))</f>
        <v/>
      </c>
      <c r="F872" s="8" t="str" cm="1">
        <f t="array" aca="1" ref="F872" ca="1">IF(INDIRECT("'Student_Record 1'!O" &amp; ROW())="", "", INDIRECT("'Student_Record 1'!O" &amp; ROW()))</f>
        <v/>
      </c>
      <c r="G872" s="11"/>
      <c r="I872" s="11"/>
      <c r="J872" s="11"/>
      <c r="K872" s="11"/>
      <c r="L872" s="11"/>
      <c r="M872" s="11"/>
      <c r="N872" s="11"/>
      <c r="O872" s="11"/>
      <c r="P872" s="11"/>
      <c r="Q872" s="11"/>
    </row>
    <row r="873" spans="1:17" x14ac:dyDescent="0.25">
      <c r="A873" s="8" t="str" cm="1">
        <f t="array" aca="1" ref="A873" ca="1">IF(INDIRECT("'Student_Record 1'!A" &amp; ROW())="", "", INDIRECT("'Student_Record 1'!A" &amp; ROW()))</f>
        <v/>
      </c>
      <c r="B873" s="8" t="str" cm="1">
        <f t="array" aca="1" ref="B873" ca="1">IF(INDIRECT("'Student_Record 1'!C" &amp; ROW())="", "", INDIRECT("'Student_Record 1'!C" &amp; ROW()))</f>
        <v/>
      </c>
      <c r="C873" s="8" t="str" cm="1">
        <f t="array" aca="1" ref="C873" ca="1">IF(INDIRECT("'Student_Record 1'!E" &amp; ROW())="", "", INDIRECT("'Student_Record 1'!E" &amp; ROW()))</f>
        <v/>
      </c>
      <c r="D873" s="8" t="str" cm="1">
        <f t="array" aca="1" ref="D873" ca="1">IF(INDIRECT("'Student_Record 1'!G" &amp; ROW())="", "", INDIRECT("'Student_Record 1'!G" &amp; ROW()))</f>
        <v/>
      </c>
      <c r="E873" s="8" t="str" cm="1">
        <f t="array" aca="1" ref="E873" ca="1">IF(INDIRECT("'Student_Record 1'!I" &amp; ROW())="", "", INDIRECT("'Student_Record 1'!I" &amp; ROW()))</f>
        <v/>
      </c>
      <c r="F873" s="8" t="str" cm="1">
        <f t="array" aca="1" ref="F873" ca="1">IF(INDIRECT("'Student_Record 1'!O" &amp; ROW())="", "", INDIRECT("'Student_Record 1'!O" &amp; ROW()))</f>
        <v/>
      </c>
      <c r="G873" s="11"/>
      <c r="I873" s="11"/>
      <c r="J873" s="11"/>
      <c r="K873" s="11"/>
      <c r="L873" s="11"/>
      <c r="M873" s="11"/>
      <c r="N873" s="11"/>
      <c r="O873" s="11"/>
      <c r="P873" s="11"/>
      <c r="Q873" s="11"/>
    </row>
    <row r="874" spans="1:17" x14ac:dyDescent="0.25">
      <c r="A874" s="8" t="str" cm="1">
        <f t="array" aca="1" ref="A874" ca="1">IF(INDIRECT("'Student_Record 1'!A" &amp; ROW())="", "", INDIRECT("'Student_Record 1'!A" &amp; ROW()))</f>
        <v/>
      </c>
      <c r="B874" s="8" t="str" cm="1">
        <f t="array" aca="1" ref="B874" ca="1">IF(INDIRECT("'Student_Record 1'!C" &amp; ROW())="", "", INDIRECT("'Student_Record 1'!C" &amp; ROW()))</f>
        <v/>
      </c>
      <c r="C874" s="8" t="str" cm="1">
        <f t="array" aca="1" ref="C874" ca="1">IF(INDIRECT("'Student_Record 1'!E" &amp; ROW())="", "", INDIRECT("'Student_Record 1'!E" &amp; ROW()))</f>
        <v/>
      </c>
      <c r="D874" s="8" t="str" cm="1">
        <f t="array" aca="1" ref="D874" ca="1">IF(INDIRECT("'Student_Record 1'!G" &amp; ROW())="", "", INDIRECT("'Student_Record 1'!G" &amp; ROW()))</f>
        <v/>
      </c>
      <c r="E874" s="8" t="str" cm="1">
        <f t="array" aca="1" ref="E874" ca="1">IF(INDIRECT("'Student_Record 1'!I" &amp; ROW())="", "", INDIRECT("'Student_Record 1'!I" &amp; ROW()))</f>
        <v/>
      </c>
      <c r="F874" s="8" t="str" cm="1">
        <f t="array" aca="1" ref="F874" ca="1">IF(INDIRECT("'Student_Record 1'!O" &amp; ROW())="", "", INDIRECT("'Student_Record 1'!O" &amp; ROW()))</f>
        <v/>
      </c>
      <c r="G874" s="11"/>
      <c r="I874" s="11"/>
      <c r="J874" s="11"/>
      <c r="K874" s="11"/>
      <c r="L874" s="11"/>
      <c r="M874" s="11"/>
      <c r="N874" s="11"/>
      <c r="O874" s="11"/>
      <c r="P874" s="11"/>
      <c r="Q874" s="11"/>
    </row>
    <row r="875" spans="1:17" x14ac:dyDescent="0.25">
      <c r="A875" s="8" t="str" cm="1">
        <f t="array" aca="1" ref="A875" ca="1">IF(INDIRECT("'Student_Record 1'!A" &amp; ROW())="", "", INDIRECT("'Student_Record 1'!A" &amp; ROW()))</f>
        <v/>
      </c>
      <c r="B875" s="8" t="str" cm="1">
        <f t="array" aca="1" ref="B875" ca="1">IF(INDIRECT("'Student_Record 1'!C" &amp; ROW())="", "", INDIRECT("'Student_Record 1'!C" &amp; ROW()))</f>
        <v/>
      </c>
      <c r="C875" s="8" t="str" cm="1">
        <f t="array" aca="1" ref="C875" ca="1">IF(INDIRECT("'Student_Record 1'!E" &amp; ROW())="", "", INDIRECT("'Student_Record 1'!E" &amp; ROW()))</f>
        <v/>
      </c>
      <c r="D875" s="8" t="str" cm="1">
        <f t="array" aca="1" ref="D875" ca="1">IF(INDIRECT("'Student_Record 1'!G" &amp; ROW())="", "", INDIRECT("'Student_Record 1'!G" &amp; ROW()))</f>
        <v/>
      </c>
      <c r="E875" s="8" t="str" cm="1">
        <f t="array" aca="1" ref="E875" ca="1">IF(INDIRECT("'Student_Record 1'!I" &amp; ROW())="", "", INDIRECT("'Student_Record 1'!I" &amp; ROW()))</f>
        <v/>
      </c>
      <c r="F875" s="8" t="str" cm="1">
        <f t="array" aca="1" ref="F875" ca="1">IF(INDIRECT("'Student_Record 1'!O" &amp; ROW())="", "", INDIRECT("'Student_Record 1'!O" &amp; ROW()))</f>
        <v/>
      </c>
      <c r="G875" s="11"/>
      <c r="I875" s="11"/>
      <c r="J875" s="11"/>
      <c r="K875" s="11"/>
      <c r="L875" s="11"/>
      <c r="M875" s="11"/>
      <c r="N875" s="11"/>
      <c r="O875" s="11"/>
      <c r="P875" s="11"/>
      <c r="Q875" s="11"/>
    </row>
    <row r="876" spans="1:17" x14ac:dyDescent="0.25">
      <c r="A876" s="8" t="str" cm="1">
        <f t="array" aca="1" ref="A876" ca="1">IF(INDIRECT("'Student_Record 1'!A" &amp; ROW())="", "", INDIRECT("'Student_Record 1'!A" &amp; ROW()))</f>
        <v/>
      </c>
      <c r="B876" s="8" t="str" cm="1">
        <f t="array" aca="1" ref="B876" ca="1">IF(INDIRECT("'Student_Record 1'!C" &amp; ROW())="", "", INDIRECT("'Student_Record 1'!C" &amp; ROW()))</f>
        <v/>
      </c>
      <c r="C876" s="8" t="str" cm="1">
        <f t="array" aca="1" ref="C876" ca="1">IF(INDIRECT("'Student_Record 1'!E" &amp; ROW())="", "", INDIRECT("'Student_Record 1'!E" &amp; ROW()))</f>
        <v/>
      </c>
      <c r="D876" s="8" t="str" cm="1">
        <f t="array" aca="1" ref="D876" ca="1">IF(INDIRECT("'Student_Record 1'!G" &amp; ROW())="", "", INDIRECT("'Student_Record 1'!G" &amp; ROW()))</f>
        <v/>
      </c>
      <c r="E876" s="8" t="str" cm="1">
        <f t="array" aca="1" ref="E876" ca="1">IF(INDIRECT("'Student_Record 1'!I" &amp; ROW())="", "", INDIRECT("'Student_Record 1'!I" &amp; ROW()))</f>
        <v/>
      </c>
      <c r="F876" s="8" t="str" cm="1">
        <f t="array" aca="1" ref="F876" ca="1">IF(INDIRECT("'Student_Record 1'!O" &amp; ROW())="", "", INDIRECT("'Student_Record 1'!O" &amp; ROW()))</f>
        <v/>
      </c>
      <c r="G876" s="11"/>
      <c r="I876" s="11"/>
      <c r="J876" s="11"/>
      <c r="K876" s="11"/>
      <c r="L876" s="11"/>
      <c r="M876" s="11"/>
      <c r="N876" s="11"/>
      <c r="O876" s="11"/>
      <c r="P876" s="11"/>
      <c r="Q876" s="11"/>
    </row>
    <row r="877" spans="1:17" x14ac:dyDescent="0.25">
      <c r="A877" s="8" t="str" cm="1">
        <f t="array" aca="1" ref="A877" ca="1">IF(INDIRECT("'Student_Record 1'!A" &amp; ROW())="", "", INDIRECT("'Student_Record 1'!A" &amp; ROW()))</f>
        <v/>
      </c>
      <c r="B877" s="8" t="str" cm="1">
        <f t="array" aca="1" ref="B877" ca="1">IF(INDIRECT("'Student_Record 1'!C" &amp; ROW())="", "", INDIRECT("'Student_Record 1'!C" &amp; ROW()))</f>
        <v/>
      </c>
      <c r="C877" s="8" t="str" cm="1">
        <f t="array" aca="1" ref="C877" ca="1">IF(INDIRECT("'Student_Record 1'!E" &amp; ROW())="", "", INDIRECT("'Student_Record 1'!E" &amp; ROW()))</f>
        <v/>
      </c>
      <c r="D877" s="8" t="str" cm="1">
        <f t="array" aca="1" ref="D877" ca="1">IF(INDIRECT("'Student_Record 1'!G" &amp; ROW())="", "", INDIRECT("'Student_Record 1'!G" &amp; ROW()))</f>
        <v/>
      </c>
      <c r="E877" s="8" t="str" cm="1">
        <f t="array" aca="1" ref="E877" ca="1">IF(INDIRECT("'Student_Record 1'!I" &amp; ROW())="", "", INDIRECT("'Student_Record 1'!I" &amp; ROW()))</f>
        <v/>
      </c>
      <c r="F877" s="8" t="str" cm="1">
        <f t="array" aca="1" ref="F877" ca="1">IF(INDIRECT("'Student_Record 1'!O" &amp; ROW())="", "", INDIRECT("'Student_Record 1'!O" &amp; ROW()))</f>
        <v/>
      </c>
      <c r="G877" s="11"/>
      <c r="I877" s="11"/>
      <c r="J877" s="11"/>
      <c r="K877" s="11"/>
      <c r="L877" s="11"/>
      <c r="M877" s="11"/>
      <c r="N877" s="11"/>
      <c r="O877" s="11"/>
      <c r="P877" s="11"/>
      <c r="Q877" s="11"/>
    </row>
    <row r="878" spans="1:17" x14ac:dyDescent="0.25">
      <c r="A878" s="8" t="str" cm="1">
        <f t="array" aca="1" ref="A878" ca="1">IF(INDIRECT("'Student_Record 1'!A" &amp; ROW())="", "", INDIRECT("'Student_Record 1'!A" &amp; ROW()))</f>
        <v/>
      </c>
      <c r="B878" s="8" t="str" cm="1">
        <f t="array" aca="1" ref="B878" ca="1">IF(INDIRECT("'Student_Record 1'!C" &amp; ROW())="", "", INDIRECT("'Student_Record 1'!C" &amp; ROW()))</f>
        <v/>
      </c>
      <c r="C878" s="8" t="str" cm="1">
        <f t="array" aca="1" ref="C878" ca="1">IF(INDIRECT("'Student_Record 1'!E" &amp; ROW())="", "", INDIRECT("'Student_Record 1'!E" &amp; ROW()))</f>
        <v/>
      </c>
      <c r="D878" s="8" t="str" cm="1">
        <f t="array" aca="1" ref="D878" ca="1">IF(INDIRECT("'Student_Record 1'!G" &amp; ROW())="", "", INDIRECT("'Student_Record 1'!G" &amp; ROW()))</f>
        <v/>
      </c>
      <c r="E878" s="8" t="str" cm="1">
        <f t="array" aca="1" ref="E878" ca="1">IF(INDIRECT("'Student_Record 1'!I" &amp; ROW())="", "", INDIRECT("'Student_Record 1'!I" &amp; ROW()))</f>
        <v/>
      </c>
      <c r="F878" s="8" t="str" cm="1">
        <f t="array" aca="1" ref="F878" ca="1">IF(INDIRECT("'Student_Record 1'!O" &amp; ROW())="", "", INDIRECT("'Student_Record 1'!O" &amp; ROW()))</f>
        <v/>
      </c>
      <c r="G878" s="11"/>
      <c r="I878" s="11"/>
      <c r="J878" s="11"/>
      <c r="K878" s="11"/>
      <c r="L878" s="11"/>
      <c r="M878" s="11"/>
      <c r="N878" s="11"/>
      <c r="O878" s="11"/>
      <c r="P878" s="11"/>
      <c r="Q878" s="11"/>
    </row>
    <row r="879" spans="1:17" x14ac:dyDescent="0.25">
      <c r="A879" s="8" t="str" cm="1">
        <f t="array" aca="1" ref="A879" ca="1">IF(INDIRECT("'Student_Record 1'!A" &amp; ROW())="", "", INDIRECT("'Student_Record 1'!A" &amp; ROW()))</f>
        <v/>
      </c>
      <c r="B879" s="8" t="str" cm="1">
        <f t="array" aca="1" ref="B879" ca="1">IF(INDIRECT("'Student_Record 1'!C" &amp; ROW())="", "", INDIRECT("'Student_Record 1'!C" &amp; ROW()))</f>
        <v/>
      </c>
      <c r="C879" s="8" t="str" cm="1">
        <f t="array" aca="1" ref="C879" ca="1">IF(INDIRECT("'Student_Record 1'!E" &amp; ROW())="", "", INDIRECT("'Student_Record 1'!E" &amp; ROW()))</f>
        <v/>
      </c>
      <c r="D879" s="8" t="str" cm="1">
        <f t="array" aca="1" ref="D879" ca="1">IF(INDIRECT("'Student_Record 1'!G" &amp; ROW())="", "", INDIRECT("'Student_Record 1'!G" &amp; ROW()))</f>
        <v/>
      </c>
      <c r="E879" s="8" t="str" cm="1">
        <f t="array" aca="1" ref="E879" ca="1">IF(INDIRECT("'Student_Record 1'!I" &amp; ROW())="", "", INDIRECT("'Student_Record 1'!I" &amp; ROW()))</f>
        <v/>
      </c>
      <c r="F879" s="8" t="str" cm="1">
        <f t="array" aca="1" ref="F879" ca="1">IF(INDIRECT("'Student_Record 1'!O" &amp; ROW())="", "", INDIRECT("'Student_Record 1'!O" &amp; ROW()))</f>
        <v/>
      </c>
      <c r="G879" s="11"/>
      <c r="I879" s="11"/>
      <c r="J879" s="11"/>
      <c r="K879" s="11"/>
      <c r="L879" s="11"/>
      <c r="M879" s="11"/>
      <c r="N879" s="11"/>
      <c r="O879" s="11"/>
      <c r="P879" s="11"/>
      <c r="Q879" s="11"/>
    </row>
    <row r="880" spans="1:17" x14ac:dyDescent="0.25">
      <c r="A880" s="8" t="str" cm="1">
        <f t="array" aca="1" ref="A880" ca="1">IF(INDIRECT("'Student_Record 1'!A" &amp; ROW())="", "", INDIRECT("'Student_Record 1'!A" &amp; ROW()))</f>
        <v/>
      </c>
      <c r="B880" s="8" t="str" cm="1">
        <f t="array" aca="1" ref="B880" ca="1">IF(INDIRECT("'Student_Record 1'!C" &amp; ROW())="", "", INDIRECT("'Student_Record 1'!C" &amp; ROW()))</f>
        <v/>
      </c>
      <c r="C880" s="8" t="str" cm="1">
        <f t="array" aca="1" ref="C880" ca="1">IF(INDIRECT("'Student_Record 1'!E" &amp; ROW())="", "", INDIRECT("'Student_Record 1'!E" &amp; ROW()))</f>
        <v/>
      </c>
      <c r="D880" s="8" t="str" cm="1">
        <f t="array" aca="1" ref="D880" ca="1">IF(INDIRECT("'Student_Record 1'!G" &amp; ROW())="", "", INDIRECT("'Student_Record 1'!G" &amp; ROW()))</f>
        <v/>
      </c>
      <c r="E880" s="8" t="str" cm="1">
        <f t="array" aca="1" ref="E880" ca="1">IF(INDIRECT("'Student_Record 1'!I" &amp; ROW())="", "", INDIRECT("'Student_Record 1'!I" &amp; ROW()))</f>
        <v/>
      </c>
      <c r="F880" s="8" t="str" cm="1">
        <f t="array" aca="1" ref="F880" ca="1">IF(INDIRECT("'Student_Record 1'!O" &amp; ROW())="", "", INDIRECT("'Student_Record 1'!O" &amp; ROW()))</f>
        <v/>
      </c>
      <c r="G880" s="11"/>
      <c r="I880" s="11"/>
      <c r="J880" s="11"/>
      <c r="K880" s="11"/>
      <c r="L880" s="11"/>
      <c r="M880" s="11"/>
      <c r="N880" s="11"/>
      <c r="O880" s="11"/>
      <c r="P880" s="11"/>
      <c r="Q880" s="11"/>
    </row>
    <row r="881" spans="1:17" x14ac:dyDescent="0.25">
      <c r="A881" s="8" t="str" cm="1">
        <f t="array" aca="1" ref="A881" ca="1">IF(INDIRECT("'Student_Record 1'!A" &amp; ROW())="", "", INDIRECT("'Student_Record 1'!A" &amp; ROW()))</f>
        <v/>
      </c>
      <c r="B881" s="8" t="str" cm="1">
        <f t="array" aca="1" ref="B881" ca="1">IF(INDIRECT("'Student_Record 1'!C" &amp; ROW())="", "", INDIRECT("'Student_Record 1'!C" &amp; ROW()))</f>
        <v/>
      </c>
      <c r="C881" s="8" t="str" cm="1">
        <f t="array" aca="1" ref="C881" ca="1">IF(INDIRECT("'Student_Record 1'!E" &amp; ROW())="", "", INDIRECT("'Student_Record 1'!E" &amp; ROW()))</f>
        <v/>
      </c>
      <c r="D881" s="8" t="str" cm="1">
        <f t="array" aca="1" ref="D881" ca="1">IF(INDIRECT("'Student_Record 1'!G" &amp; ROW())="", "", INDIRECT("'Student_Record 1'!G" &amp; ROW()))</f>
        <v/>
      </c>
      <c r="E881" s="8" t="str" cm="1">
        <f t="array" aca="1" ref="E881" ca="1">IF(INDIRECT("'Student_Record 1'!I" &amp; ROW())="", "", INDIRECT("'Student_Record 1'!I" &amp; ROW()))</f>
        <v/>
      </c>
      <c r="F881" s="8" t="str" cm="1">
        <f t="array" aca="1" ref="F881" ca="1">IF(INDIRECT("'Student_Record 1'!O" &amp; ROW())="", "", INDIRECT("'Student_Record 1'!O" &amp; ROW()))</f>
        <v/>
      </c>
      <c r="G881" s="11"/>
      <c r="I881" s="11"/>
      <c r="J881" s="11"/>
      <c r="K881" s="11"/>
      <c r="L881" s="11"/>
      <c r="M881" s="11"/>
      <c r="N881" s="11"/>
      <c r="O881" s="11"/>
      <c r="P881" s="11"/>
      <c r="Q881" s="11"/>
    </row>
    <row r="882" spans="1:17" x14ac:dyDescent="0.25">
      <c r="A882" s="8" t="str" cm="1">
        <f t="array" aca="1" ref="A882" ca="1">IF(INDIRECT("'Student_Record 1'!A" &amp; ROW())="", "", INDIRECT("'Student_Record 1'!A" &amp; ROW()))</f>
        <v/>
      </c>
      <c r="B882" s="8" t="str" cm="1">
        <f t="array" aca="1" ref="B882" ca="1">IF(INDIRECT("'Student_Record 1'!C" &amp; ROW())="", "", INDIRECT("'Student_Record 1'!C" &amp; ROW()))</f>
        <v/>
      </c>
      <c r="C882" s="8" t="str" cm="1">
        <f t="array" aca="1" ref="C882" ca="1">IF(INDIRECT("'Student_Record 1'!E" &amp; ROW())="", "", INDIRECT("'Student_Record 1'!E" &amp; ROW()))</f>
        <v/>
      </c>
      <c r="D882" s="8" t="str" cm="1">
        <f t="array" aca="1" ref="D882" ca="1">IF(INDIRECT("'Student_Record 1'!G" &amp; ROW())="", "", INDIRECT("'Student_Record 1'!G" &amp; ROW()))</f>
        <v/>
      </c>
      <c r="E882" s="8" t="str" cm="1">
        <f t="array" aca="1" ref="E882" ca="1">IF(INDIRECT("'Student_Record 1'!I" &amp; ROW())="", "", INDIRECT("'Student_Record 1'!I" &amp; ROW()))</f>
        <v/>
      </c>
      <c r="F882" s="8" t="str" cm="1">
        <f t="array" aca="1" ref="F882" ca="1">IF(INDIRECT("'Student_Record 1'!O" &amp; ROW())="", "", INDIRECT("'Student_Record 1'!O" &amp; ROW()))</f>
        <v/>
      </c>
      <c r="G882" s="11"/>
      <c r="I882" s="11"/>
      <c r="J882" s="11"/>
      <c r="K882" s="11"/>
      <c r="L882" s="11"/>
      <c r="M882" s="11"/>
      <c r="N882" s="11"/>
      <c r="O882" s="11"/>
      <c r="P882" s="11"/>
      <c r="Q882" s="11"/>
    </row>
    <row r="883" spans="1:17" x14ac:dyDescent="0.25">
      <c r="A883" s="8" t="str" cm="1">
        <f t="array" aca="1" ref="A883" ca="1">IF(INDIRECT("'Student_Record 1'!A" &amp; ROW())="", "", INDIRECT("'Student_Record 1'!A" &amp; ROW()))</f>
        <v/>
      </c>
      <c r="B883" s="8" t="str" cm="1">
        <f t="array" aca="1" ref="B883" ca="1">IF(INDIRECT("'Student_Record 1'!C" &amp; ROW())="", "", INDIRECT("'Student_Record 1'!C" &amp; ROW()))</f>
        <v/>
      </c>
      <c r="C883" s="8" t="str" cm="1">
        <f t="array" aca="1" ref="C883" ca="1">IF(INDIRECT("'Student_Record 1'!E" &amp; ROW())="", "", INDIRECT("'Student_Record 1'!E" &amp; ROW()))</f>
        <v/>
      </c>
      <c r="D883" s="8" t="str" cm="1">
        <f t="array" aca="1" ref="D883" ca="1">IF(INDIRECT("'Student_Record 1'!G" &amp; ROW())="", "", INDIRECT("'Student_Record 1'!G" &amp; ROW()))</f>
        <v/>
      </c>
      <c r="E883" s="8" t="str" cm="1">
        <f t="array" aca="1" ref="E883" ca="1">IF(INDIRECT("'Student_Record 1'!I" &amp; ROW())="", "", INDIRECT("'Student_Record 1'!I" &amp; ROW()))</f>
        <v/>
      </c>
      <c r="F883" s="8" t="str" cm="1">
        <f t="array" aca="1" ref="F883" ca="1">IF(INDIRECT("'Student_Record 1'!O" &amp; ROW())="", "", INDIRECT("'Student_Record 1'!O" &amp; ROW()))</f>
        <v/>
      </c>
      <c r="G883" s="11"/>
      <c r="I883" s="11"/>
      <c r="J883" s="11"/>
      <c r="K883" s="11"/>
      <c r="L883" s="11"/>
      <c r="M883" s="11"/>
      <c r="N883" s="11"/>
      <c r="O883" s="11"/>
      <c r="P883" s="11"/>
      <c r="Q883" s="11"/>
    </row>
    <row r="884" spans="1:17" x14ac:dyDescent="0.25">
      <c r="A884" s="8" t="str" cm="1">
        <f t="array" aca="1" ref="A884" ca="1">IF(INDIRECT("'Student_Record 1'!A" &amp; ROW())="", "", INDIRECT("'Student_Record 1'!A" &amp; ROW()))</f>
        <v/>
      </c>
      <c r="B884" s="8" t="str" cm="1">
        <f t="array" aca="1" ref="B884" ca="1">IF(INDIRECT("'Student_Record 1'!C" &amp; ROW())="", "", INDIRECT("'Student_Record 1'!C" &amp; ROW()))</f>
        <v/>
      </c>
      <c r="C884" s="8" t="str" cm="1">
        <f t="array" aca="1" ref="C884" ca="1">IF(INDIRECT("'Student_Record 1'!E" &amp; ROW())="", "", INDIRECT("'Student_Record 1'!E" &amp; ROW()))</f>
        <v/>
      </c>
      <c r="D884" s="8" t="str" cm="1">
        <f t="array" aca="1" ref="D884" ca="1">IF(INDIRECT("'Student_Record 1'!G" &amp; ROW())="", "", INDIRECT("'Student_Record 1'!G" &amp; ROW()))</f>
        <v/>
      </c>
      <c r="E884" s="8" t="str" cm="1">
        <f t="array" aca="1" ref="E884" ca="1">IF(INDIRECT("'Student_Record 1'!I" &amp; ROW())="", "", INDIRECT("'Student_Record 1'!I" &amp; ROW()))</f>
        <v/>
      </c>
      <c r="F884" s="8" t="str" cm="1">
        <f t="array" aca="1" ref="F884" ca="1">IF(INDIRECT("'Student_Record 1'!O" &amp; ROW())="", "", INDIRECT("'Student_Record 1'!O" &amp; ROW()))</f>
        <v/>
      </c>
      <c r="G884" s="11"/>
      <c r="I884" s="11"/>
      <c r="J884" s="11"/>
      <c r="K884" s="11"/>
      <c r="L884" s="11"/>
      <c r="M884" s="11"/>
      <c r="N884" s="11"/>
      <c r="O884" s="11"/>
      <c r="P884" s="11"/>
      <c r="Q884" s="11"/>
    </row>
    <row r="885" spans="1:17" x14ac:dyDescent="0.25">
      <c r="A885" s="8" t="str" cm="1">
        <f t="array" aca="1" ref="A885" ca="1">IF(INDIRECT("'Student_Record 1'!A" &amp; ROW())="", "", INDIRECT("'Student_Record 1'!A" &amp; ROW()))</f>
        <v/>
      </c>
      <c r="B885" s="8" t="str" cm="1">
        <f t="array" aca="1" ref="B885" ca="1">IF(INDIRECT("'Student_Record 1'!C" &amp; ROW())="", "", INDIRECT("'Student_Record 1'!C" &amp; ROW()))</f>
        <v/>
      </c>
      <c r="C885" s="8" t="str" cm="1">
        <f t="array" aca="1" ref="C885" ca="1">IF(INDIRECT("'Student_Record 1'!E" &amp; ROW())="", "", INDIRECT("'Student_Record 1'!E" &amp; ROW()))</f>
        <v/>
      </c>
      <c r="D885" s="8" t="str" cm="1">
        <f t="array" aca="1" ref="D885" ca="1">IF(INDIRECT("'Student_Record 1'!G" &amp; ROW())="", "", INDIRECT("'Student_Record 1'!G" &amp; ROW()))</f>
        <v/>
      </c>
      <c r="E885" s="8" t="str" cm="1">
        <f t="array" aca="1" ref="E885" ca="1">IF(INDIRECT("'Student_Record 1'!I" &amp; ROW())="", "", INDIRECT("'Student_Record 1'!I" &amp; ROW()))</f>
        <v/>
      </c>
      <c r="F885" s="8" t="str" cm="1">
        <f t="array" aca="1" ref="F885" ca="1">IF(INDIRECT("'Student_Record 1'!O" &amp; ROW())="", "", INDIRECT("'Student_Record 1'!O" &amp; ROW()))</f>
        <v/>
      </c>
      <c r="G885" s="11"/>
      <c r="I885" s="11"/>
      <c r="J885" s="11"/>
      <c r="K885" s="11"/>
      <c r="L885" s="11"/>
      <c r="M885" s="11"/>
      <c r="N885" s="11"/>
      <c r="O885" s="11"/>
      <c r="P885" s="11"/>
      <c r="Q885" s="11"/>
    </row>
    <row r="886" spans="1:17" x14ac:dyDescent="0.25">
      <c r="A886" s="8" t="str" cm="1">
        <f t="array" aca="1" ref="A886" ca="1">IF(INDIRECT("'Student_Record 1'!A" &amp; ROW())="", "", INDIRECT("'Student_Record 1'!A" &amp; ROW()))</f>
        <v/>
      </c>
      <c r="B886" s="8" t="str" cm="1">
        <f t="array" aca="1" ref="B886" ca="1">IF(INDIRECT("'Student_Record 1'!C" &amp; ROW())="", "", INDIRECT("'Student_Record 1'!C" &amp; ROW()))</f>
        <v/>
      </c>
      <c r="C886" s="8" t="str" cm="1">
        <f t="array" aca="1" ref="C886" ca="1">IF(INDIRECT("'Student_Record 1'!E" &amp; ROW())="", "", INDIRECT("'Student_Record 1'!E" &amp; ROW()))</f>
        <v/>
      </c>
      <c r="D886" s="8" t="str" cm="1">
        <f t="array" aca="1" ref="D886" ca="1">IF(INDIRECT("'Student_Record 1'!G" &amp; ROW())="", "", INDIRECT("'Student_Record 1'!G" &amp; ROW()))</f>
        <v/>
      </c>
      <c r="E886" s="8" t="str" cm="1">
        <f t="array" aca="1" ref="E886" ca="1">IF(INDIRECT("'Student_Record 1'!I" &amp; ROW())="", "", INDIRECT("'Student_Record 1'!I" &amp; ROW()))</f>
        <v/>
      </c>
      <c r="F886" s="8" t="str" cm="1">
        <f t="array" aca="1" ref="F886" ca="1">IF(INDIRECT("'Student_Record 1'!O" &amp; ROW())="", "", INDIRECT("'Student_Record 1'!O" &amp; ROW()))</f>
        <v/>
      </c>
      <c r="G886" s="11"/>
      <c r="I886" s="11"/>
      <c r="J886" s="11"/>
      <c r="K886" s="11"/>
      <c r="L886" s="11"/>
      <c r="M886" s="11"/>
      <c r="N886" s="11"/>
      <c r="O886" s="11"/>
      <c r="P886" s="11"/>
      <c r="Q886" s="11"/>
    </row>
    <row r="887" spans="1:17" x14ac:dyDescent="0.25">
      <c r="A887" s="8" t="str" cm="1">
        <f t="array" aca="1" ref="A887" ca="1">IF(INDIRECT("'Student_Record 1'!A" &amp; ROW())="", "", INDIRECT("'Student_Record 1'!A" &amp; ROW()))</f>
        <v/>
      </c>
      <c r="B887" s="8" t="str" cm="1">
        <f t="array" aca="1" ref="B887" ca="1">IF(INDIRECT("'Student_Record 1'!C" &amp; ROW())="", "", INDIRECT("'Student_Record 1'!C" &amp; ROW()))</f>
        <v/>
      </c>
      <c r="C887" s="8" t="str" cm="1">
        <f t="array" aca="1" ref="C887" ca="1">IF(INDIRECT("'Student_Record 1'!E" &amp; ROW())="", "", INDIRECT("'Student_Record 1'!E" &amp; ROW()))</f>
        <v/>
      </c>
      <c r="D887" s="8" t="str" cm="1">
        <f t="array" aca="1" ref="D887" ca="1">IF(INDIRECT("'Student_Record 1'!G" &amp; ROW())="", "", INDIRECT("'Student_Record 1'!G" &amp; ROW()))</f>
        <v/>
      </c>
      <c r="E887" s="8" t="str" cm="1">
        <f t="array" aca="1" ref="E887" ca="1">IF(INDIRECT("'Student_Record 1'!I" &amp; ROW())="", "", INDIRECT("'Student_Record 1'!I" &amp; ROW()))</f>
        <v/>
      </c>
      <c r="F887" s="8" t="str" cm="1">
        <f t="array" aca="1" ref="F887" ca="1">IF(INDIRECT("'Student_Record 1'!O" &amp; ROW())="", "", INDIRECT("'Student_Record 1'!O" &amp; ROW()))</f>
        <v/>
      </c>
      <c r="G887" s="11"/>
      <c r="I887" s="11"/>
      <c r="J887" s="11"/>
      <c r="K887" s="11"/>
      <c r="L887" s="11"/>
      <c r="M887" s="11"/>
      <c r="N887" s="11"/>
      <c r="O887" s="11"/>
      <c r="P887" s="11"/>
      <c r="Q887" s="11"/>
    </row>
    <row r="888" spans="1:17" x14ac:dyDescent="0.25">
      <c r="A888" s="8" t="str" cm="1">
        <f t="array" aca="1" ref="A888" ca="1">IF(INDIRECT("'Student_Record 1'!A" &amp; ROW())="", "", INDIRECT("'Student_Record 1'!A" &amp; ROW()))</f>
        <v/>
      </c>
      <c r="B888" s="8" t="str" cm="1">
        <f t="array" aca="1" ref="B888" ca="1">IF(INDIRECT("'Student_Record 1'!C" &amp; ROW())="", "", INDIRECT("'Student_Record 1'!C" &amp; ROW()))</f>
        <v/>
      </c>
      <c r="C888" s="8" t="str" cm="1">
        <f t="array" aca="1" ref="C888" ca="1">IF(INDIRECT("'Student_Record 1'!E" &amp; ROW())="", "", INDIRECT("'Student_Record 1'!E" &amp; ROW()))</f>
        <v/>
      </c>
      <c r="D888" s="8" t="str" cm="1">
        <f t="array" aca="1" ref="D888" ca="1">IF(INDIRECT("'Student_Record 1'!G" &amp; ROW())="", "", INDIRECT("'Student_Record 1'!G" &amp; ROW()))</f>
        <v/>
      </c>
      <c r="E888" s="8" t="str" cm="1">
        <f t="array" aca="1" ref="E888" ca="1">IF(INDIRECT("'Student_Record 1'!I" &amp; ROW())="", "", INDIRECT("'Student_Record 1'!I" &amp; ROW()))</f>
        <v/>
      </c>
      <c r="F888" s="8" t="str" cm="1">
        <f t="array" aca="1" ref="F888" ca="1">IF(INDIRECT("'Student_Record 1'!O" &amp; ROW())="", "", INDIRECT("'Student_Record 1'!O" &amp; ROW()))</f>
        <v/>
      </c>
      <c r="G888" s="11"/>
      <c r="I888" s="11"/>
      <c r="J888" s="11"/>
      <c r="K888" s="11"/>
      <c r="L888" s="11"/>
      <c r="M888" s="11"/>
      <c r="N888" s="11"/>
      <c r="O888" s="11"/>
      <c r="P888" s="11"/>
      <c r="Q888" s="11"/>
    </row>
    <row r="889" spans="1:17" x14ac:dyDescent="0.25">
      <c r="A889" s="8" t="str" cm="1">
        <f t="array" aca="1" ref="A889" ca="1">IF(INDIRECT("'Student_Record 1'!A" &amp; ROW())="", "", INDIRECT("'Student_Record 1'!A" &amp; ROW()))</f>
        <v/>
      </c>
      <c r="B889" s="8" t="str" cm="1">
        <f t="array" aca="1" ref="B889" ca="1">IF(INDIRECT("'Student_Record 1'!C" &amp; ROW())="", "", INDIRECT("'Student_Record 1'!C" &amp; ROW()))</f>
        <v/>
      </c>
      <c r="C889" s="8" t="str" cm="1">
        <f t="array" aca="1" ref="C889" ca="1">IF(INDIRECT("'Student_Record 1'!E" &amp; ROW())="", "", INDIRECT("'Student_Record 1'!E" &amp; ROW()))</f>
        <v/>
      </c>
      <c r="D889" s="8" t="str" cm="1">
        <f t="array" aca="1" ref="D889" ca="1">IF(INDIRECT("'Student_Record 1'!G" &amp; ROW())="", "", INDIRECT("'Student_Record 1'!G" &amp; ROW()))</f>
        <v/>
      </c>
      <c r="E889" s="8" t="str" cm="1">
        <f t="array" aca="1" ref="E889" ca="1">IF(INDIRECT("'Student_Record 1'!I" &amp; ROW())="", "", INDIRECT("'Student_Record 1'!I" &amp; ROW()))</f>
        <v/>
      </c>
      <c r="F889" s="8" t="str" cm="1">
        <f t="array" aca="1" ref="F889" ca="1">IF(INDIRECT("'Student_Record 1'!O" &amp; ROW())="", "", INDIRECT("'Student_Record 1'!O" &amp; ROW()))</f>
        <v/>
      </c>
      <c r="G889" s="11"/>
      <c r="I889" s="11"/>
      <c r="J889" s="11"/>
      <c r="K889" s="11"/>
      <c r="L889" s="11"/>
      <c r="M889" s="11"/>
      <c r="N889" s="11"/>
      <c r="O889" s="11"/>
      <c r="P889" s="11"/>
      <c r="Q889" s="11"/>
    </row>
    <row r="890" spans="1:17" x14ac:dyDescent="0.25">
      <c r="A890" s="8" t="str" cm="1">
        <f t="array" aca="1" ref="A890" ca="1">IF(INDIRECT("'Student_Record 1'!A" &amp; ROW())="", "", INDIRECT("'Student_Record 1'!A" &amp; ROW()))</f>
        <v/>
      </c>
      <c r="B890" s="8" t="str" cm="1">
        <f t="array" aca="1" ref="B890" ca="1">IF(INDIRECT("'Student_Record 1'!C" &amp; ROW())="", "", INDIRECT("'Student_Record 1'!C" &amp; ROW()))</f>
        <v/>
      </c>
      <c r="C890" s="8" t="str" cm="1">
        <f t="array" aca="1" ref="C890" ca="1">IF(INDIRECT("'Student_Record 1'!E" &amp; ROW())="", "", INDIRECT("'Student_Record 1'!E" &amp; ROW()))</f>
        <v/>
      </c>
      <c r="D890" s="8" t="str" cm="1">
        <f t="array" aca="1" ref="D890" ca="1">IF(INDIRECT("'Student_Record 1'!G" &amp; ROW())="", "", INDIRECT("'Student_Record 1'!G" &amp; ROW()))</f>
        <v/>
      </c>
      <c r="E890" s="8" t="str" cm="1">
        <f t="array" aca="1" ref="E890" ca="1">IF(INDIRECT("'Student_Record 1'!I" &amp; ROW())="", "", INDIRECT("'Student_Record 1'!I" &amp; ROW()))</f>
        <v/>
      </c>
      <c r="F890" s="8" t="str" cm="1">
        <f t="array" aca="1" ref="F890" ca="1">IF(INDIRECT("'Student_Record 1'!O" &amp; ROW())="", "", INDIRECT("'Student_Record 1'!O" &amp; ROW()))</f>
        <v/>
      </c>
      <c r="G890" s="11"/>
      <c r="I890" s="11"/>
      <c r="J890" s="11"/>
      <c r="K890" s="11"/>
      <c r="L890" s="11"/>
      <c r="M890" s="11"/>
      <c r="N890" s="11"/>
      <c r="O890" s="11"/>
      <c r="P890" s="11"/>
      <c r="Q890" s="11"/>
    </row>
    <row r="891" spans="1:17" x14ac:dyDescent="0.25">
      <c r="A891" s="8" t="str" cm="1">
        <f t="array" aca="1" ref="A891" ca="1">IF(INDIRECT("'Student_Record 1'!A" &amp; ROW())="", "", INDIRECT("'Student_Record 1'!A" &amp; ROW()))</f>
        <v/>
      </c>
      <c r="B891" s="8" t="str" cm="1">
        <f t="array" aca="1" ref="B891" ca="1">IF(INDIRECT("'Student_Record 1'!C" &amp; ROW())="", "", INDIRECT("'Student_Record 1'!C" &amp; ROW()))</f>
        <v/>
      </c>
      <c r="C891" s="8" t="str" cm="1">
        <f t="array" aca="1" ref="C891" ca="1">IF(INDIRECT("'Student_Record 1'!E" &amp; ROW())="", "", INDIRECT("'Student_Record 1'!E" &amp; ROW()))</f>
        <v/>
      </c>
      <c r="D891" s="8" t="str" cm="1">
        <f t="array" aca="1" ref="D891" ca="1">IF(INDIRECT("'Student_Record 1'!G" &amp; ROW())="", "", INDIRECT("'Student_Record 1'!G" &amp; ROW()))</f>
        <v/>
      </c>
      <c r="E891" s="8" t="str" cm="1">
        <f t="array" aca="1" ref="E891" ca="1">IF(INDIRECT("'Student_Record 1'!I" &amp; ROW())="", "", INDIRECT("'Student_Record 1'!I" &amp; ROW()))</f>
        <v/>
      </c>
      <c r="F891" s="8" t="str" cm="1">
        <f t="array" aca="1" ref="F891" ca="1">IF(INDIRECT("'Student_Record 1'!O" &amp; ROW())="", "", INDIRECT("'Student_Record 1'!O" &amp; ROW()))</f>
        <v/>
      </c>
      <c r="G891" s="11"/>
      <c r="I891" s="11"/>
      <c r="J891" s="11"/>
      <c r="K891" s="11"/>
      <c r="L891" s="11"/>
      <c r="M891" s="11"/>
      <c r="N891" s="11"/>
      <c r="O891" s="11"/>
      <c r="P891" s="11"/>
      <c r="Q891" s="11"/>
    </row>
    <row r="892" spans="1:17" x14ac:dyDescent="0.25">
      <c r="A892" s="8" t="str" cm="1">
        <f t="array" aca="1" ref="A892" ca="1">IF(INDIRECT("'Student_Record 1'!A" &amp; ROW())="", "", INDIRECT("'Student_Record 1'!A" &amp; ROW()))</f>
        <v/>
      </c>
      <c r="B892" s="8" t="str" cm="1">
        <f t="array" aca="1" ref="B892" ca="1">IF(INDIRECT("'Student_Record 1'!C" &amp; ROW())="", "", INDIRECT("'Student_Record 1'!C" &amp; ROW()))</f>
        <v/>
      </c>
      <c r="C892" s="8" t="str" cm="1">
        <f t="array" aca="1" ref="C892" ca="1">IF(INDIRECT("'Student_Record 1'!E" &amp; ROW())="", "", INDIRECT("'Student_Record 1'!E" &amp; ROW()))</f>
        <v/>
      </c>
      <c r="D892" s="8" t="str" cm="1">
        <f t="array" aca="1" ref="D892" ca="1">IF(INDIRECT("'Student_Record 1'!G" &amp; ROW())="", "", INDIRECT("'Student_Record 1'!G" &amp; ROW()))</f>
        <v/>
      </c>
      <c r="E892" s="8" t="str" cm="1">
        <f t="array" aca="1" ref="E892" ca="1">IF(INDIRECT("'Student_Record 1'!I" &amp; ROW())="", "", INDIRECT("'Student_Record 1'!I" &amp; ROW()))</f>
        <v/>
      </c>
      <c r="F892" s="8" t="str" cm="1">
        <f t="array" aca="1" ref="F892" ca="1">IF(INDIRECT("'Student_Record 1'!O" &amp; ROW())="", "", INDIRECT("'Student_Record 1'!O" &amp; ROW()))</f>
        <v/>
      </c>
      <c r="G892" s="11"/>
      <c r="I892" s="11"/>
      <c r="J892" s="11"/>
      <c r="K892" s="11"/>
      <c r="L892" s="11"/>
      <c r="M892" s="11"/>
      <c r="N892" s="11"/>
      <c r="O892" s="11"/>
      <c r="P892" s="11"/>
      <c r="Q892" s="11"/>
    </row>
    <row r="893" spans="1:17" x14ac:dyDescent="0.25">
      <c r="A893" s="8" t="str" cm="1">
        <f t="array" aca="1" ref="A893" ca="1">IF(INDIRECT("'Student_Record 1'!A" &amp; ROW())="", "", INDIRECT("'Student_Record 1'!A" &amp; ROW()))</f>
        <v/>
      </c>
      <c r="B893" s="8" t="str" cm="1">
        <f t="array" aca="1" ref="B893" ca="1">IF(INDIRECT("'Student_Record 1'!C" &amp; ROW())="", "", INDIRECT("'Student_Record 1'!C" &amp; ROW()))</f>
        <v/>
      </c>
      <c r="C893" s="8" t="str" cm="1">
        <f t="array" aca="1" ref="C893" ca="1">IF(INDIRECT("'Student_Record 1'!E" &amp; ROW())="", "", INDIRECT("'Student_Record 1'!E" &amp; ROW()))</f>
        <v/>
      </c>
      <c r="D893" s="8" t="str" cm="1">
        <f t="array" aca="1" ref="D893" ca="1">IF(INDIRECT("'Student_Record 1'!G" &amp; ROW())="", "", INDIRECT("'Student_Record 1'!G" &amp; ROW()))</f>
        <v/>
      </c>
      <c r="E893" s="8" t="str" cm="1">
        <f t="array" aca="1" ref="E893" ca="1">IF(INDIRECT("'Student_Record 1'!I" &amp; ROW())="", "", INDIRECT("'Student_Record 1'!I" &amp; ROW()))</f>
        <v/>
      </c>
      <c r="F893" s="8" t="str" cm="1">
        <f t="array" aca="1" ref="F893" ca="1">IF(INDIRECT("'Student_Record 1'!O" &amp; ROW())="", "", INDIRECT("'Student_Record 1'!O" &amp; ROW()))</f>
        <v/>
      </c>
      <c r="G893" s="11"/>
      <c r="I893" s="11"/>
      <c r="J893" s="11"/>
      <c r="K893" s="11"/>
      <c r="L893" s="11"/>
      <c r="M893" s="11"/>
      <c r="N893" s="11"/>
      <c r="O893" s="11"/>
      <c r="P893" s="11"/>
      <c r="Q893" s="11"/>
    </row>
    <row r="894" spans="1:17" x14ac:dyDescent="0.25">
      <c r="A894" s="8" t="str" cm="1">
        <f t="array" aca="1" ref="A894" ca="1">IF(INDIRECT("'Student_Record 1'!A" &amp; ROW())="", "", INDIRECT("'Student_Record 1'!A" &amp; ROW()))</f>
        <v/>
      </c>
      <c r="B894" s="8" t="str" cm="1">
        <f t="array" aca="1" ref="B894" ca="1">IF(INDIRECT("'Student_Record 1'!C" &amp; ROW())="", "", INDIRECT("'Student_Record 1'!C" &amp; ROW()))</f>
        <v/>
      </c>
      <c r="C894" s="8" t="str" cm="1">
        <f t="array" aca="1" ref="C894" ca="1">IF(INDIRECT("'Student_Record 1'!E" &amp; ROW())="", "", INDIRECT("'Student_Record 1'!E" &amp; ROW()))</f>
        <v/>
      </c>
      <c r="D894" s="8" t="str" cm="1">
        <f t="array" aca="1" ref="D894" ca="1">IF(INDIRECT("'Student_Record 1'!G" &amp; ROW())="", "", INDIRECT("'Student_Record 1'!G" &amp; ROW()))</f>
        <v/>
      </c>
      <c r="E894" s="8" t="str" cm="1">
        <f t="array" aca="1" ref="E894" ca="1">IF(INDIRECT("'Student_Record 1'!I" &amp; ROW())="", "", INDIRECT("'Student_Record 1'!I" &amp; ROW()))</f>
        <v/>
      </c>
      <c r="F894" s="8" t="str" cm="1">
        <f t="array" aca="1" ref="F894" ca="1">IF(INDIRECT("'Student_Record 1'!O" &amp; ROW())="", "", INDIRECT("'Student_Record 1'!O" &amp; ROW()))</f>
        <v/>
      </c>
      <c r="G894" s="11"/>
      <c r="I894" s="11"/>
      <c r="J894" s="11"/>
      <c r="K894" s="11"/>
      <c r="L894" s="11"/>
      <c r="M894" s="11"/>
      <c r="N894" s="11"/>
      <c r="O894" s="11"/>
      <c r="P894" s="11"/>
      <c r="Q894" s="11"/>
    </row>
    <row r="895" spans="1:17" x14ac:dyDescent="0.25">
      <c r="A895" s="8" t="str" cm="1">
        <f t="array" aca="1" ref="A895" ca="1">IF(INDIRECT("'Student_Record 1'!A" &amp; ROW())="", "", INDIRECT("'Student_Record 1'!A" &amp; ROW()))</f>
        <v/>
      </c>
      <c r="B895" s="8" t="str" cm="1">
        <f t="array" aca="1" ref="B895" ca="1">IF(INDIRECT("'Student_Record 1'!C" &amp; ROW())="", "", INDIRECT("'Student_Record 1'!C" &amp; ROW()))</f>
        <v/>
      </c>
      <c r="C895" s="8" t="str" cm="1">
        <f t="array" aca="1" ref="C895" ca="1">IF(INDIRECT("'Student_Record 1'!E" &amp; ROW())="", "", INDIRECT("'Student_Record 1'!E" &amp; ROW()))</f>
        <v/>
      </c>
      <c r="D895" s="8" t="str" cm="1">
        <f t="array" aca="1" ref="D895" ca="1">IF(INDIRECT("'Student_Record 1'!G" &amp; ROW())="", "", INDIRECT("'Student_Record 1'!G" &amp; ROW()))</f>
        <v/>
      </c>
      <c r="E895" s="8" t="str" cm="1">
        <f t="array" aca="1" ref="E895" ca="1">IF(INDIRECT("'Student_Record 1'!I" &amp; ROW())="", "", INDIRECT("'Student_Record 1'!I" &amp; ROW()))</f>
        <v/>
      </c>
      <c r="F895" s="8" t="str" cm="1">
        <f t="array" aca="1" ref="F895" ca="1">IF(INDIRECT("'Student_Record 1'!O" &amp; ROW())="", "", INDIRECT("'Student_Record 1'!O" &amp; ROW()))</f>
        <v/>
      </c>
      <c r="G895" s="11"/>
      <c r="I895" s="11"/>
      <c r="J895" s="11"/>
      <c r="K895" s="11"/>
      <c r="L895" s="11"/>
      <c r="M895" s="11"/>
      <c r="N895" s="11"/>
      <c r="O895" s="11"/>
      <c r="P895" s="11"/>
      <c r="Q895" s="11"/>
    </row>
    <row r="896" spans="1:17" x14ac:dyDescent="0.25">
      <c r="A896" s="8" t="str" cm="1">
        <f t="array" aca="1" ref="A896" ca="1">IF(INDIRECT("'Student_Record 1'!A" &amp; ROW())="", "", INDIRECT("'Student_Record 1'!A" &amp; ROW()))</f>
        <v/>
      </c>
      <c r="B896" s="8" t="str" cm="1">
        <f t="array" aca="1" ref="B896" ca="1">IF(INDIRECT("'Student_Record 1'!C" &amp; ROW())="", "", INDIRECT("'Student_Record 1'!C" &amp; ROW()))</f>
        <v/>
      </c>
      <c r="C896" s="8" t="str" cm="1">
        <f t="array" aca="1" ref="C896" ca="1">IF(INDIRECT("'Student_Record 1'!E" &amp; ROW())="", "", INDIRECT("'Student_Record 1'!E" &amp; ROW()))</f>
        <v/>
      </c>
      <c r="D896" s="8" t="str" cm="1">
        <f t="array" aca="1" ref="D896" ca="1">IF(INDIRECT("'Student_Record 1'!G" &amp; ROW())="", "", INDIRECT("'Student_Record 1'!G" &amp; ROW()))</f>
        <v/>
      </c>
      <c r="E896" s="8" t="str" cm="1">
        <f t="array" aca="1" ref="E896" ca="1">IF(INDIRECT("'Student_Record 1'!I" &amp; ROW())="", "", INDIRECT("'Student_Record 1'!I" &amp; ROW()))</f>
        <v/>
      </c>
      <c r="F896" s="8" t="str" cm="1">
        <f t="array" aca="1" ref="F896" ca="1">IF(INDIRECT("'Student_Record 1'!O" &amp; ROW())="", "", INDIRECT("'Student_Record 1'!O" &amp; ROW()))</f>
        <v/>
      </c>
      <c r="G896" s="11"/>
      <c r="I896" s="11"/>
      <c r="J896" s="11"/>
      <c r="K896" s="11"/>
      <c r="L896" s="11"/>
      <c r="M896" s="11"/>
      <c r="N896" s="11"/>
      <c r="O896" s="11"/>
      <c r="P896" s="11"/>
      <c r="Q896" s="11"/>
    </row>
    <row r="897" spans="1:17" x14ac:dyDescent="0.25">
      <c r="A897" s="8" t="str" cm="1">
        <f t="array" aca="1" ref="A897" ca="1">IF(INDIRECT("'Student_Record 1'!A" &amp; ROW())="", "", INDIRECT("'Student_Record 1'!A" &amp; ROW()))</f>
        <v/>
      </c>
      <c r="B897" s="8" t="str" cm="1">
        <f t="array" aca="1" ref="B897" ca="1">IF(INDIRECT("'Student_Record 1'!C" &amp; ROW())="", "", INDIRECT("'Student_Record 1'!C" &amp; ROW()))</f>
        <v/>
      </c>
      <c r="C897" s="8" t="str" cm="1">
        <f t="array" aca="1" ref="C897" ca="1">IF(INDIRECT("'Student_Record 1'!E" &amp; ROW())="", "", INDIRECT("'Student_Record 1'!E" &amp; ROW()))</f>
        <v/>
      </c>
      <c r="D897" s="8" t="str" cm="1">
        <f t="array" aca="1" ref="D897" ca="1">IF(INDIRECT("'Student_Record 1'!G" &amp; ROW())="", "", INDIRECT("'Student_Record 1'!G" &amp; ROW()))</f>
        <v/>
      </c>
      <c r="E897" s="8" t="str" cm="1">
        <f t="array" aca="1" ref="E897" ca="1">IF(INDIRECT("'Student_Record 1'!I" &amp; ROW())="", "", INDIRECT("'Student_Record 1'!I" &amp; ROW()))</f>
        <v/>
      </c>
      <c r="F897" s="8" t="str" cm="1">
        <f t="array" aca="1" ref="F897" ca="1">IF(INDIRECT("'Student_Record 1'!O" &amp; ROW())="", "", INDIRECT("'Student_Record 1'!O" &amp; ROW()))</f>
        <v/>
      </c>
      <c r="G897" s="11"/>
      <c r="I897" s="11"/>
      <c r="J897" s="11"/>
      <c r="K897" s="11"/>
      <c r="L897" s="11"/>
      <c r="M897" s="11"/>
      <c r="N897" s="11"/>
      <c r="O897" s="11"/>
      <c r="P897" s="11"/>
      <c r="Q897" s="11"/>
    </row>
    <row r="898" spans="1:17" x14ac:dyDescent="0.25">
      <c r="A898" s="8" t="str" cm="1">
        <f t="array" aca="1" ref="A898" ca="1">IF(INDIRECT("'Student_Record 1'!A" &amp; ROW())="", "", INDIRECT("'Student_Record 1'!A" &amp; ROW()))</f>
        <v/>
      </c>
      <c r="B898" s="8" t="str" cm="1">
        <f t="array" aca="1" ref="B898" ca="1">IF(INDIRECT("'Student_Record 1'!C" &amp; ROW())="", "", INDIRECT("'Student_Record 1'!C" &amp; ROW()))</f>
        <v/>
      </c>
      <c r="C898" s="8" t="str" cm="1">
        <f t="array" aca="1" ref="C898" ca="1">IF(INDIRECT("'Student_Record 1'!E" &amp; ROW())="", "", INDIRECT("'Student_Record 1'!E" &amp; ROW()))</f>
        <v/>
      </c>
      <c r="D898" s="8" t="str" cm="1">
        <f t="array" aca="1" ref="D898" ca="1">IF(INDIRECT("'Student_Record 1'!G" &amp; ROW())="", "", INDIRECT("'Student_Record 1'!G" &amp; ROW()))</f>
        <v/>
      </c>
      <c r="E898" s="8" t="str" cm="1">
        <f t="array" aca="1" ref="E898" ca="1">IF(INDIRECT("'Student_Record 1'!I" &amp; ROW())="", "", INDIRECT("'Student_Record 1'!I" &amp; ROW()))</f>
        <v/>
      </c>
      <c r="F898" s="8" t="str" cm="1">
        <f t="array" aca="1" ref="F898" ca="1">IF(INDIRECT("'Student_Record 1'!O" &amp; ROW())="", "", INDIRECT("'Student_Record 1'!O" &amp; ROW()))</f>
        <v/>
      </c>
      <c r="G898" s="11"/>
      <c r="I898" s="11"/>
      <c r="J898" s="11"/>
      <c r="K898" s="11"/>
      <c r="L898" s="11"/>
      <c r="M898" s="11"/>
      <c r="N898" s="11"/>
      <c r="O898" s="11"/>
      <c r="P898" s="11"/>
      <c r="Q898" s="11"/>
    </row>
    <row r="899" spans="1:17" x14ac:dyDescent="0.25">
      <c r="A899" s="8" t="str" cm="1">
        <f t="array" aca="1" ref="A899" ca="1">IF(INDIRECT("'Student_Record 1'!A" &amp; ROW())="", "", INDIRECT("'Student_Record 1'!A" &amp; ROW()))</f>
        <v/>
      </c>
      <c r="B899" s="8" t="str" cm="1">
        <f t="array" aca="1" ref="B899" ca="1">IF(INDIRECT("'Student_Record 1'!C" &amp; ROW())="", "", INDIRECT("'Student_Record 1'!C" &amp; ROW()))</f>
        <v/>
      </c>
      <c r="C899" s="8" t="str" cm="1">
        <f t="array" aca="1" ref="C899" ca="1">IF(INDIRECT("'Student_Record 1'!E" &amp; ROW())="", "", INDIRECT("'Student_Record 1'!E" &amp; ROW()))</f>
        <v/>
      </c>
      <c r="D899" s="8" t="str" cm="1">
        <f t="array" aca="1" ref="D899" ca="1">IF(INDIRECT("'Student_Record 1'!G" &amp; ROW())="", "", INDIRECT("'Student_Record 1'!G" &amp; ROW()))</f>
        <v/>
      </c>
      <c r="E899" s="8" t="str" cm="1">
        <f t="array" aca="1" ref="E899" ca="1">IF(INDIRECT("'Student_Record 1'!I" &amp; ROW())="", "", INDIRECT("'Student_Record 1'!I" &amp; ROW()))</f>
        <v/>
      </c>
      <c r="F899" s="8" t="str" cm="1">
        <f t="array" aca="1" ref="F899" ca="1">IF(INDIRECT("'Student_Record 1'!O" &amp; ROW())="", "", INDIRECT("'Student_Record 1'!O" &amp; ROW()))</f>
        <v/>
      </c>
      <c r="G899" s="11"/>
      <c r="I899" s="11"/>
      <c r="J899" s="11"/>
      <c r="K899" s="11"/>
      <c r="L899" s="11"/>
      <c r="M899" s="11"/>
      <c r="N899" s="11"/>
      <c r="O899" s="11"/>
      <c r="P899" s="11"/>
      <c r="Q899" s="11"/>
    </row>
    <row r="900" spans="1:17" x14ac:dyDescent="0.25">
      <c r="A900" s="8" t="str" cm="1">
        <f t="array" aca="1" ref="A900" ca="1">IF(INDIRECT("'Student_Record 1'!A" &amp; ROW())="", "", INDIRECT("'Student_Record 1'!A" &amp; ROW()))</f>
        <v/>
      </c>
      <c r="B900" s="8" t="str" cm="1">
        <f t="array" aca="1" ref="B900" ca="1">IF(INDIRECT("'Student_Record 1'!C" &amp; ROW())="", "", INDIRECT("'Student_Record 1'!C" &amp; ROW()))</f>
        <v/>
      </c>
      <c r="C900" s="8" t="str" cm="1">
        <f t="array" aca="1" ref="C900" ca="1">IF(INDIRECT("'Student_Record 1'!E" &amp; ROW())="", "", INDIRECT("'Student_Record 1'!E" &amp; ROW()))</f>
        <v/>
      </c>
      <c r="D900" s="8" t="str" cm="1">
        <f t="array" aca="1" ref="D900" ca="1">IF(INDIRECT("'Student_Record 1'!G" &amp; ROW())="", "", INDIRECT("'Student_Record 1'!G" &amp; ROW()))</f>
        <v/>
      </c>
      <c r="E900" s="8" t="str" cm="1">
        <f t="array" aca="1" ref="E900" ca="1">IF(INDIRECT("'Student_Record 1'!I" &amp; ROW())="", "", INDIRECT("'Student_Record 1'!I" &amp; ROW()))</f>
        <v/>
      </c>
      <c r="F900" s="8" t="str" cm="1">
        <f t="array" aca="1" ref="F900" ca="1">IF(INDIRECT("'Student_Record 1'!O" &amp; ROW())="", "", INDIRECT("'Student_Record 1'!O" &amp; ROW()))</f>
        <v/>
      </c>
      <c r="G900" s="11"/>
      <c r="I900" s="11"/>
      <c r="J900" s="11"/>
      <c r="K900" s="11"/>
      <c r="L900" s="11"/>
      <c r="M900" s="11"/>
      <c r="N900" s="11"/>
      <c r="O900" s="11"/>
      <c r="P900" s="11"/>
      <c r="Q900" s="11"/>
    </row>
    <row r="901" spans="1:17" x14ac:dyDescent="0.25">
      <c r="A901" s="8" t="str" cm="1">
        <f t="array" aca="1" ref="A901" ca="1">IF(INDIRECT("'Student_Record 1'!A" &amp; ROW())="", "", INDIRECT("'Student_Record 1'!A" &amp; ROW()))</f>
        <v/>
      </c>
      <c r="B901" s="8" t="str" cm="1">
        <f t="array" aca="1" ref="B901" ca="1">IF(INDIRECT("'Student_Record 1'!C" &amp; ROW())="", "", INDIRECT("'Student_Record 1'!C" &amp; ROW()))</f>
        <v/>
      </c>
      <c r="C901" s="8" t="str" cm="1">
        <f t="array" aca="1" ref="C901" ca="1">IF(INDIRECT("'Student_Record 1'!E" &amp; ROW())="", "", INDIRECT("'Student_Record 1'!E" &amp; ROW()))</f>
        <v/>
      </c>
      <c r="D901" s="8" t="str" cm="1">
        <f t="array" aca="1" ref="D901" ca="1">IF(INDIRECT("'Student_Record 1'!G" &amp; ROW())="", "", INDIRECT("'Student_Record 1'!G" &amp; ROW()))</f>
        <v/>
      </c>
      <c r="E901" s="8" t="str" cm="1">
        <f t="array" aca="1" ref="E901" ca="1">IF(INDIRECT("'Student_Record 1'!I" &amp; ROW())="", "", INDIRECT("'Student_Record 1'!I" &amp; ROW()))</f>
        <v/>
      </c>
      <c r="F901" s="8" t="str" cm="1">
        <f t="array" aca="1" ref="F901" ca="1">IF(INDIRECT("'Student_Record 1'!O" &amp; ROW())="", "", INDIRECT("'Student_Record 1'!O" &amp; ROW()))</f>
        <v/>
      </c>
      <c r="G901" s="11"/>
      <c r="I901" s="11"/>
      <c r="J901" s="11"/>
      <c r="K901" s="11"/>
      <c r="L901" s="11"/>
      <c r="M901" s="11"/>
      <c r="N901" s="11"/>
      <c r="O901" s="11"/>
      <c r="P901" s="11"/>
      <c r="Q901" s="11"/>
    </row>
    <row r="902" spans="1:17" x14ac:dyDescent="0.25">
      <c r="A902" s="8" t="str" cm="1">
        <f t="array" aca="1" ref="A902" ca="1">IF(INDIRECT("'Student_Record 1'!A" &amp; ROW())="", "", INDIRECT("'Student_Record 1'!A" &amp; ROW()))</f>
        <v/>
      </c>
      <c r="B902" s="8" t="str" cm="1">
        <f t="array" aca="1" ref="B902" ca="1">IF(INDIRECT("'Student_Record 1'!C" &amp; ROW())="", "", INDIRECT("'Student_Record 1'!C" &amp; ROW()))</f>
        <v/>
      </c>
      <c r="C902" s="8" t="str" cm="1">
        <f t="array" aca="1" ref="C902" ca="1">IF(INDIRECT("'Student_Record 1'!E" &amp; ROW())="", "", INDIRECT("'Student_Record 1'!E" &amp; ROW()))</f>
        <v/>
      </c>
      <c r="D902" s="8" t="str" cm="1">
        <f t="array" aca="1" ref="D902" ca="1">IF(INDIRECT("'Student_Record 1'!G" &amp; ROW())="", "", INDIRECT("'Student_Record 1'!G" &amp; ROW()))</f>
        <v/>
      </c>
      <c r="E902" s="8" t="str" cm="1">
        <f t="array" aca="1" ref="E902" ca="1">IF(INDIRECT("'Student_Record 1'!I" &amp; ROW())="", "", INDIRECT("'Student_Record 1'!I" &amp; ROW()))</f>
        <v/>
      </c>
      <c r="F902" s="8" t="str" cm="1">
        <f t="array" aca="1" ref="F902" ca="1">IF(INDIRECT("'Student_Record 1'!O" &amp; ROW())="", "", INDIRECT("'Student_Record 1'!O" &amp; ROW()))</f>
        <v/>
      </c>
      <c r="G902" s="11"/>
      <c r="I902" s="11"/>
      <c r="J902" s="11"/>
      <c r="K902" s="11"/>
      <c r="L902" s="11"/>
      <c r="M902" s="11"/>
      <c r="N902" s="11"/>
      <c r="O902" s="11"/>
      <c r="P902" s="11"/>
      <c r="Q902" s="11"/>
    </row>
    <row r="903" spans="1:17" x14ac:dyDescent="0.25">
      <c r="A903" s="8" t="str" cm="1">
        <f t="array" aca="1" ref="A903" ca="1">IF(INDIRECT("'Student_Record 1'!A" &amp; ROW())="", "", INDIRECT("'Student_Record 1'!A" &amp; ROW()))</f>
        <v/>
      </c>
      <c r="B903" s="8" t="str" cm="1">
        <f t="array" aca="1" ref="B903" ca="1">IF(INDIRECT("'Student_Record 1'!C" &amp; ROW())="", "", INDIRECT("'Student_Record 1'!C" &amp; ROW()))</f>
        <v/>
      </c>
      <c r="C903" s="8" t="str" cm="1">
        <f t="array" aca="1" ref="C903" ca="1">IF(INDIRECT("'Student_Record 1'!E" &amp; ROW())="", "", INDIRECT("'Student_Record 1'!E" &amp; ROW()))</f>
        <v/>
      </c>
      <c r="D903" s="8" t="str" cm="1">
        <f t="array" aca="1" ref="D903" ca="1">IF(INDIRECT("'Student_Record 1'!G" &amp; ROW())="", "", INDIRECT("'Student_Record 1'!G" &amp; ROW()))</f>
        <v/>
      </c>
      <c r="E903" s="8" t="str" cm="1">
        <f t="array" aca="1" ref="E903" ca="1">IF(INDIRECT("'Student_Record 1'!I" &amp; ROW())="", "", INDIRECT("'Student_Record 1'!I" &amp; ROW()))</f>
        <v/>
      </c>
      <c r="F903" s="8" t="str" cm="1">
        <f t="array" aca="1" ref="F903" ca="1">IF(INDIRECT("'Student_Record 1'!O" &amp; ROW())="", "", INDIRECT("'Student_Record 1'!O" &amp; ROW()))</f>
        <v/>
      </c>
      <c r="G903" s="11"/>
      <c r="I903" s="11"/>
      <c r="J903" s="11"/>
      <c r="K903" s="11"/>
      <c r="L903" s="11"/>
      <c r="M903" s="11"/>
      <c r="N903" s="11"/>
      <c r="O903" s="11"/>
      <c r="P903" s="11"/>
      <c r="Q903" s="11"/>
    </row>
    <row r="904" spans="1:17" x14ac:dyDescent="0.25">
      <c r="A904" s="8" t="str" cm="1">
        <f t="array" aca="1" ref="A904" ca="1">IF(INDIRECT("'Student_Record 1'!A" &amp; ROW())="", "", INDIRECT("'Student_Record 1'!A" &amp; ROW()))</f>
        <v/>
      </c>
      <c r="B904" s="8" t="str" cm="1">
        <f t="array" aca="1" ref="B904" ca="1">IF(INDIRECT("'Student_Record 1'!C" &amp; ROW())="", "", INDIRECT("'Student_Record 1'!C" &amp; ROW()))</f>
        <v/>
      </c>
      <c r="C904" s="8" t="str" cm="1">
        <f t="array" aca="1" ref="C904" ca="1">IF(INDIRECT("'Student_Record 1'!E" &amp; ROW())="", "", INDIRECT("'Student_Record 1'!E" &amp; ROW()))</f>
        <v/>
      </c>
      <c r="D904" s="8" t="str" cm="1">
        <f t="array" aca="1" ref="D904" ca="1">IF(INDIRECT("'Student_Record 1'!G" &amp; ROW())="", "", INDIRECT("'Student_Record 1'!G" &amp; ROW()))</f>
        <v/>
      </c>
      <c r="E904" s="8" t="str" cm="1">
        <f t="array" aca="1" ref="E904" ca="1">IF(INDIRECT("'Student_Record 1'!I" &amp; ROW())="", "", INDIRECT("'Student_Record 1'!I" &amp; ROW()))</f>
        <v/>
      </c>
      <c r="F904" s="8" t="str" cm="1">
        <f t="array" aca="1" ref="F904" ca="1">IF(INDIRECT("'Student_Record 1'!O" &amp; ROW())="", "", INDIRECT("'Student_Record 1'!O" &amp; ROW()))</f>
        <v/>
      </c>
      <c r="G904" s="11"/>
      <c r="I904" s="11"/>
      <c r="J904" s="11"/>
      <c r="K904" s="11"/>
      <c r="L904" s="11"/>
      <c r="M904" s="11"/>
      <c r="N904" s="11"/>
      <c r="O904" s="11"/>
      <c r="P904" s="11"/>
      <c r="Q904" s="11"/>
    </row>
    <row r="905" spans="1:17" x14ac:dyDescent="0.25">
      <c r="A905" s="8" t="str" cm="1">
        <f t="array" aca="1" ref="A905" ca="1">IF(INDIRECT("'Student_Record 1'!A" &amp; ROW())="", "", INDIRECT("'Student_Record 1'!A" &amp; ROW()))</f>
        <v/>
      </c>
      <c r="B905" s="8" t="str" cm="1">
        <f t="array" aca="1" ref="B905" ca="1">IF(INDIRECT("'Student_Record 1'!C" &amp; ROW())="", "", INDIRECT("'Student_Record 1'!C" &amp; ROW()))</f>
        <v/>
      </c>
      <c r="C905" s="8" t="str" cm="1">
        <f t="array" aca="1" ref="C905" ca="1">IF(INDIRECT("'Student_Record 1'!E" &amp; ROW())="", "", INDIRECT("'Student_Record 1'!E" &amp; ROW()))</f>
        <v/>
      </c>
      <c r="D905" s="8" t="str" cm="1">
        <f t="array" aca="1" ref="D905" ca="1">IF(INDIRECT("'Student_Record 1'!G" &amp; ROW())="", "", INDIRECT("'Student_Record 1'!G" &amp; ROW()))</f>
        <v/>
      </c>
      <c r="E905" s="8" t="str" cm="1">
        <f t="array" aca="1" ref="E905" ca="1">IF(INDIRECT("'Student_Record 1'!I" &amp; ROW())="", "", INDIRECT("'Student_Record 1'!I" &amp; ROW()))</f>
        <v/>
      </c>
      <c r="F905" s="8" t="str" cm="1">
        <f t="array" aca="1" ref="F905" ca="1">IF(INDIRECT("'Student_Record 1'!O" &amp; ROW())="", "", INDIRECT("'Student_Record 1'!O" &amp; ROW()))</f>
        <v/>
      </c>
      <c r="G905" s="11"/>
      <c r="I905" s="11"/>
      <c r="J905" s="11"/>
      <c r="K905" s="11"/>
      <c r="L905" s="11"/>
      <c r="M905" s="11"/>
      <c r="N905" s="11"/>
      <c r="O905" s="11"/>
      <c r="P905" s="11"/>
      <c r="Q905" s="11"/>
    </row>
    <row r="906" spans="1:17" x14ac:dyDescent="0.25">
      <c r="A906" s="8" t="str" cm="1">
        <f t="array" aca="1" ref="A906" ca="1">IF(INDIRECT("'Student_Record 1'!A" &amp; ROW())="", "", INDIRECT("'Student_Record 1'!A" &amp; ROW()))</f>
        <v/>
      </c>
      <c r="B906" s="8" t="str" cm="1">
        <f t="array" aca="1" ref="B906" ca="1">IF(INDIRECT("'Student_Record 1'!C" &amp; ROW())="", "", INDIRECT("'Student_Record 1'!C" &amp; ROW()))</f>
        <v/>
      </c>
      <c r="C906" s="8" t="str" cm="1">
        <f t="array" aca="1" ref="C906" ca="1">IF(INDIRECT("'Student_Record 1'!E" &amp; ROW())="", "", INDIRECT("'Student_Record 1'!E" &amp; ROW()))</f>
        <v/>
      </c>
      <c r="D906" s="8" t="str" cm="1">
        <f t="array" aca="1" ref="D906" ca="1">IF(INDIRECT("'Student_Record 1'!G" &amp; ROW())="", "", INDIRECT("'Student_Record 1'!G" &amp; ROW()))</f>
        <v/>
      </c>
      <c r="E906" s="8" t="str" cm="1">
        <f t="array" aca="1" ref="E906" ca="1">IF(INDIRECT("'Student_Record 1'!I" &amp; ROW())="", "", INDIRECT("'Student_Record 1'!I" &amp; ROW()))</f>
        <v/>
      </c>
      <c r="F906" s="8" t="str" cm="1">
        <f t="array" aca="1" ref="F906" ca="1">IF(INDIRECT("'Student_Record 1'!O" &amp; ROW())="", "", INDIRECT("'Student_Record 1'!O" &amp; ROW()))</f>
        <v/>
      </c>
      <c r="G906" s="11"/>
      <c r="I906" s="11"/>
      <c r="J906" s="11"/>
      <c r="K906" s="11"/>
      <c r="L906" s="11"/>
      <c r="M906" s="11"/>
      <c r="N906" s="11"/>
      <c r="O906" s="11"/>
      <c r="P906" s="11"/>
      <c r="Q906" s="11"/>
    </row>
    <row r="907" spans="1:17" x14ac:dyDescent="0.25">
      <c r="A907" s="8" t="str" cm="1">
        <f t="array" aca="1" ref="A907" ca="1">IF(INDIRECT("'Student_Record 1'!A" &amp; ROW())="", "", INDIRECT("'Student_Record 1'!A" &amp; ROW()))</f>
        <v/>
      </c>
      <c r="B907" s="8" t="str" cm="1">
        <f t="array" aca="1" ref="B907" ca="1">IF(INDIRECT("'Student_Record 1'!C" &amp; ROW())="", "", INDIRECT("'Student_Record 1'!C" &amp; ROW()))</f>
        <v/>
      </c>
      <c r="C907" s="8" t="str" cm="1">
        <f t="array" aca="1" ref="C907" ca="1">IF(INDIRECT("'Student_Record 1'!E" &amp; ROW())="", "", INDIRECT("'Student_Record 1'!E" &amp; ROW()))</f>
        <v/>
      </c>
      <c r="D907" s="8" t="str" cm="1">
        <f t="array" aca="1" ref="D907" ca="1">IF(INDIRECT("'Student_Record 1'!G" &amp; ROW())="", "", INDIRECT("'Student_Record 1'!G" &amp; ROW()))</f>
        <v/>
      </c>
      <c r="E907" s="8" t="str" cm="1">
        <f t="array" aca="1" ref="E907" ca="1">IF(INDIRECT("'Student_Record 1'!I" &amp; ROW())="", "", INDIRECT("'Student_Record 1'!I" &amp; ROW()))</f>
        <v/>
      </c>
      <c r="F907" s="8" t="str" cm="1">
        <f t="array" aca="1" ref="F907" ca="1">IF(INDIRECT("'Student_Record 1'!O" &amp; ROW())="", "", INDIRECT("'Student_Record 1'!O" &amp; ROW()))</f>
        <v/>
      </c>
      <c r="G907" s="11"/>
      <c r="I907" s="11"/>
      <c r="J907" s="11"/>
      <c r="K907" s="11"/>
      <c r="L907" s="11"/>
      <c r="M907" s="11"/>
      <c r="N907" s="11"/>
      <c r="O907" s="11"/>
      <c r="P907" s="11"/>
      <c r="Q907" s="11"/>
    </row>
    <row r="908" spans="1:17" x14ac:dyDescent="0.25">
      <c r="A908" s="8" t="str" cm="1">
        <f t="array" aca="1" ref="A908" ca="1">IF(INDIRECT("'Student_Record 1'!A" &amp; ROW())="", "", INDIRECT("'Student_Record 1'!A" &amp; ROW()))</f>
        <v/>
      </c>
      <c r="B908" s="8" t="str" cm="1">
        <f t="array" aca="1" ref="B908" ca="1">IF(INDIRECT("'Student_Record 1'!C" &amp; ROW())="", "", INDIRECT("'Student_Record 1'!C" &amp; ROW()))</f>
        <v/>
      </c>
      <c r="C908" s="8" t="str" cm="1">
        <f t="array" aca="1" ref="C908" ca="1">IF(INDIRECT("'Student_Record 1'!E" &amp; ROW())="", "", INDIRECT("'Student_Record 1'!E" &amp; ROW()))</f>
        <v/>
      </c>
      <c r="D908" s="8" t="str" cm="1">
        <f t="array" aca="1" ref="D908" ca="1">IF(INDIRECT("'Student_Record 1'!G" &amp; ROW())="", "", INDIRECT("'Student_Record 1'!G" &amp; ROW()))</f>
        <v/>
      </c>
      <c r="E908" s="8" t="str" cm="1">
        <f t="array" aca="1" ref="E908" ca="1">IF(INDIRECT("'Student_Record 1'!I" &amp; ROW())="", "", INDIRECT("'Student_Record 1'!I" &amp; ROW()))</f>
        <v/>
      </c>
      <c r="F908" s="8" t="str" cm="1">
        <f t="array" aca="1" ref="F908" ca="1">IF(INDIRECT("'Student_Record 1'!O" &amp; ROW())="", "", INDIRECT("'Student_Record 1'!O" &amp; ROW()))</f>
        <v/>
      </c>
      <c r="G908" s="11"/>
      <c r="I908" s="11"/>
      <c r="J908" s="11"/>
      <c r="K908" s="11"/>
      <c r="L908" s="11"/>
      <c r="M908" s="11"/>
      <c r="N908" s="11"/>
      <c r="O908" s="11"/>
      <c r="P908" s="11"/>
      <c r="Q908" s="11"/>
    </row>
    <row r="909" spans="1:17" x14ac:dyDescent="0.25">
      <c r="A909" s="8" t="str" cm="1">
        <f t="array" aca="1" ref="A909" ca="1">IF(INDIRECT("'Student_Record 1'!A" &amp; ROW())="", "", INDIRECT("'Student_Record 1'!A" &amp; ROW()))</f>
        <v/>
      </c>
      <c r="B909" s="8" t="str" cm="1">
        <f t="array" aca="1" ref="B909" ca="1">IF(INDIRECT("'Student_Record 1'!C" &amp; ROW())="", "", INDIRECT("'Student_Record 1'!C" &amp; ROW()))</f>
        <v/>
      </c>
      <c r="C909" s="8" t="str" cm="1">
        <f t="array" aca="1" ref="C909" ca="1">IF(INDIRECT("'Student_Record 1'!E" &amp; ROW())="", "", INDIRECT("'Student_Record 1'!E" &amp; ROW()))</f>
        <v/>
      </c>
      <c r="D909" s="8" t="str" cm="1">
        <f t="array" aca="1" ref="D909" ca="1">IF(INDIRECT("'Student_Record 1'!G" &amp; ROW())="", "", INDIRECT("'Student_Record 1'!G" &amp; ROW()))</f>
        <v/>
      </c>
      <c r="E909" s="8" t="str" cm="1">
        <f t="array" aca="1" ref="E909" ca="1">IF(INDIRECT("'Student_Record 1'!I" &amp; ROW())="", "", INDIRECT("'Student_Record 1'!I" &amp; ROW()))</f>
        <v/>
      </c>
      <c r="F909" s="8" t="str" cm="1">
        <f t="array" aca="1" ref="F909" ca="1">IF(INDIRECT("'Student_Record 1'!O" &amp; ROW())="", "", INDIRECT("'Student_Record 1'!O" &amp; ROW()))</f>
        <v/>
      </c>
      <c r="G909" s="11"/>
      <c r="I909" s="11"/>
      <c r="J909" s="11"/>
      <c r="K909" s="11"/>
      <c r="L909" s="11"/>
      <c r="M909" s="11"/>
      <c r="N909" s="11"/>
      <c r="O909" s="11"/>
      <c r="P909" s="11"/>
      <c r="Q909" s="11"/>
    </row>
    <row r="910" spans="1:17" x14ac:dyDescent="0.25">
      <c r="A910" s="8" t="str" cm="1">
        <f t="array" aca="1" ref="A910" ca="1">IF(INDIRECT("'Student_Record 1'!A" &amp; ROW())="", "", INDIRECT("'Student_Record 1'!A" &amp; ROW()))</f>
        <v/>
      </c>
      <c r="B910" s="8" t="str" cm="1">
        <f t="array" aca="1" ref="B910" ca="1">IF(INDIRECT("'Student_Record 1'!C" &amp; ROW())="", "", INDIRECT("'Student_Record 1'!C" &amp; ROW()))</f>
        <v/>
      </c>
      <c r="C910" s="8" t="str" cm="1">
        <f t="array" aca="1" ref="C910" ca="1">IF(INDIRECT("'Student_Record 1'!E" &amp; ROW())="", "", INDIRECT("'Student_Record 1'!E" &amp; ROW()))</f>
        <v/>
      </c>
      <c r="D910" s="8" t="str" cm="1">
        <f t="array" aca="1" ref="D910" ca="1">IF(INDIRECT("'Student_Record 1'!G" &amp; ROW())="", "", INDIRECT("'Student_Record 1'!G" &amp; ROW()))</f>
        <v/>
      </c>
      <c r="E910" s="8" t="str" cm="1">
        <f t="array" aca="1" ref="E910" ca="1">IF(INDIRECT("'Student_Record 1'!I" &amp; ROW())="", "", INDIRECT("'Student_Record 1'!I" &amp; ROW()))</f>
        <v/>
      </c>
      <c r="F910" s="8" t="str" cm="1">
        <f t="array" aca="1" ref="F910" ca="1">IF(INDIRECT("'Student_Record 1'!O" &amp; ROW())="", "", INDIRECT("'Student_Record 1'!O" &amp; ROW()))</f>
        <v/>
      </c>
      <c r="G910" s="11"/>
      <c r="I910" s="11"/>
      <c r="J910" s="11"/>
      <c r="K910" s="11"/>
      <c r="L910" s="11"/>
      <c r="M910" s="11"/>
      <c r="N910" s="11"/>
      <c r="O910" s="11"/>
      <c r="P910" s="11"/>
      <c r="Q910" s="11"/>
    </row>
    <row r="911" spans="1:17" x14ac:dyDescent="0.25">
      <c r="A911" s="8" t="str" cm="1">
        <f t="array" aca="1" ref="A911" ca="1">IF(INDIRECT("'Student_Record 1'!A" &amp; ROW())="", "", INDIRECT("'Student_Record 1'!A" &amp; ROW()))</f>
        <v/>
      </c>
      <c r="B911" s="8" t="str" cm="1">
        <f t="array" aca="1" ref="B911" ca="1">IF(INDIRECT("'Student_Record 1'!C" &amp; ROW())="", "", INDIRECT("'Student_Record 1'!C" &amp; ROW()))</f>
        <v/>
      </c>
      <c r="C911" s="8" t="str" cm="1">
        <f t="array" aca="1" ref="C911" ca="1">IF(INDIRECT("'Student_Record 1'!E" &amp; ROW())="", "", INDIRECT("'Student_Record 1'!E" &amp; ROW()))</f>
        <v/>
      </c>
      <c r="D911" s="8" t="str" cm="1">
        <f t="array" aca="1" ref="D911" ca="1">IF(INDIRECT("'Student_Record 1'!G" &amp; ROW())="", "", INDIRECT("'Student_Record 1'!G" &amp; ROW()))</f>
        <v/>
      </c>
      <c r="E911" s="8" t="str" cm="1">
        <f t="array" aca="1" ref="E911" ca="1">IF(INDIRECT("'Student_Record 1'!I" &amp; ROW())="", "", INDIRECT("'Student_Record 1'!I" &amp; ROW()))</f>
        <v/>
      </c>
      <c r="F911" s="8" t="str" cm="1">
        <f t="array" aca="1" ref="F911" ca="1">IF(INDIRECT("'Student_Record 1'!O" &amp; ROW())="", "", INDIRECT("'Student_Record 1'!O" &amp; ROW()))</f>
        <v/>
      </c>
      <c r="G911" s="11"/>
      <c r="I911" s="11"/>
      <c r="J911" s="11"/>
      <c r="K911" s="11"/>
      <c r="L911" s="11"/>
      <c r="M911" s="11"/>
      <c r="N911" s="11"/>
      <c r="O911" s="11"/>
      <c r="P911" s="11"/>
      <c r="Q911" s="11"/>
    </row>
    <row r="912" spans="1:17" x14ac:dyDescent="0.25">
      <c r="A912" s="8" t="str" cm="1">
        <f t="array" aca="1" ref="A912" ca="1">IF(INDIRECT("'Student_Record 1'!A" &amp; ROW())="", "", INDIRECT("'Student_Record 1'!A" &amp; ROW()))</f>
        <v/>
      </c>
      <c r="B912" s="8" t="str" cm="1">
        <f t="array" aca="1" ref="B912" ca="1">IF(INDIRECT("'Student_Record 1'!C" &amp; ROW())="", "", INDIRECT("'Student_Record 1'!C" &amp; ROW()))</f>
        <v/>
      </c>
      <c r="C912" s="8" t="str" cm="1">
        <f t="array" aca="1" ref="C912" ca="1">IF(INDIRECT("'Student_Record 1'!E" &amp; ROW())="", "", INDIRECT("'Student_Record 1'!E" &amp; ROW()))</f>
        <v/>
      </c>
      <c r="D912" s="8" t="str" cm="1">
        <f t="array" aca="1" ref="D912" ca="1">IF(INDIRECT("'Student_Record 1'!G" &amp; ROW())="", "", INDIRECT("'Student_Record 1'!G" &amp; ROW()))</f>
        <v/>
      </c>
      <c r="E912" s="8" t="str" cm="1">
        <f t="array" aca="1" ref="E912" ca="1">IF(INDIRECT("'Student_Record 1'!I" &amp; ROW())="", "", INDIRECT("'Student_Record 1'!I" &amp; ROW()))</f>
        <v/>
      </c>
      <c r="F912" s="8" t="str" cm="1">
        <f t="array" aca="1" ref="F912" ca="1">IF(INDIRECT("'Student_Record 1'!O" &amp; ROW())="", "", INDIRECT("'Student_Record 1'!O" &amp; ROW()))</f>
        <v/>
      </c>
      <c r="G912" s="11"/>
      <c r="I912" s="11"/>
      <c r="J912" s="11"/>
      <c r="K912" s="11"/>
      <c r="L912" s="11"/>
      <c r="M912" s="11"/>
      <c r="N912" s="11"/>
      <c r="O912" s="11"/>
      <c r="P912" s="11"/>
      <c r="Q912" s="11"/>
    </row>
    <row r="913" spans="1:17" x14ac:dyDescent="0.25">
      <c r="A913" s="8" t="str" cm="1">
        <f t="array" aca="1" ref="A913" ca="1">IF(INDIRECT("'Student_Record 1'!A" &amp; ROW())="", "", INDIRECT("'Student_Record 1'!A" &amp; ROW()))</f>
        <v/>
      </c>
      <c r="B913" s="8" t="str" cm="1">
        <f t="array" aca="1" ref="B913" ca="1">IF(INDIRECT("'Student_Record 1'!C" &amp; ROW())="", "", INDIRECT("'Student_Record 1'!C" &amp; ROW()))</f>
        <v/>
      </c>
      <c r="C913" s="8" t="str" cm="1">
        <f t="array" aca="1" ref="C913" ca="1">IF(INDIRECT("'Student_Record 1'!E" &amp; ROW())="", "", INDIRECT("'Student_Record 1'!E" &amp; ROW()))</f>
        <v/>
      </c>
      <c r="D913" s="8" t="str" cm="1">
        <f t="array" aca="1" ref="D913" ca="1">IF(INDIRECT("'Student_Record 1'!G" &amp; ROW())="", "", INDIRECT("'Student_Record 1'!G" &amp; ROW()))</f>
        <v/>
      </c>
      <c r="E913" s="8" t="str" cm="1">
        <f t="array" aca="1" ref="E913" ca="1">IF(INDIRECT("'Student_Record 1'!I" &amp; ROW())="", "", INDIRECT("'Student_Record 1'!I" &amp; ROW()))</f>
        <v/>
      </c>
      <c r="F913" s="8" t="str" cm="1">
        <f t="array" aca="1" ref="F913" ca="1">IF(INDIRECT("'Student_Record 1'!O" &amp; ROW())="", "", INDIRECT("'Student_Record 1'!O" &amp; ROW()))</f>
        <v/>
      </c>
      <c r="G913" s="11"/>
      <c r="I913" s="11"/>
      <c r="J913" s="11"/>
      <c r="K913" s="11"/>
      <c r="L913" s="11"/>
      <c r="M913" s="11"/>
      <c r="N913" s="11"/>
      <c r="O913" s="11"/>
      <c r="P913" s="11"/>
      <c r="Q913" s="11"/>
    </row>
    <row r="914" spans="1:17" x14ac:dyDescent="0.25">
      <c r="A914" s="8" t="str" cm="1">
        <f t="array" aca="1" ref="A914" ca="1">IF(INDIRECT("'Student_Record 1'!A" &amp; ROW())="", "", INDIRECT("'Student_Record 1'!A" &amp; ROW()))</f>
        <v/>
      </c>
      <c r="B914" s="8" t="str" cm="1">
        <f t="array" aca="1" ref="B914" ca="1">IF(INDIRECT("'Student_Record 1'!C" &amp; ROW())="", "", INDIRECT("'Student_Record 1'!C" &amp; ROW()))</f>
        <v/>
      </c>
      <c r="C914" s="8" t="str" cm="1">
        <f t="array" aca="1" ref="C914" ca="1">IF(INDIRECT("'Student_Record 1'!E" &amp; ROW())="", "", INDIRECT("'Student_Record 1'!E" &amp; ROW()))</f>
        <v/>
      </c>
      <c r="D914" s="8" t="str" cm="1">
        <f t="array" aca="1" ref="D914" ca="1">IF(INDIRECT("'Student_Record 1'!G" &amp; ROW())="", "", INDIRECT("'Student_Record 1'!G" &amp; ROW()))</f>
        <v/>
      </c>
      <c r="E914" s="8" t="str" cm="1">
        <f t="array" aca="1" ref="E914" ca="1">IF(INDIRECT("'Student_Record 1'!I" &amp; ROW())="", "", INDIRECT("'Student_Record 1'!I" &amp; ROW()))</f>
        <v/>
      </c>
      <c r="F914" s="8" t="str" cm="1">
        <f t="array" aca="1" ref="F914" ca="1">IF(INDIRECT("'Student_Record 1'!O" &amp; ROW())="", "", INDIRECT("'Student_Record 1'!O" &amp; ROW()))</f>
        <v/>
      </c>
      <c r="G914" s="11"/>
      <c r="I914" s="11"/>
      <c r="J914" s="11"/>
      <c r="K914" s="11"/>
      <c r="L914" s="11"/>
      <c r="M914" s="11"/>
      <c r="N914" s="11"/>
      <c r="O914" s="11"/>
      <c r="P914" s="11"/>
      <c r="Q914" s="11"/>
    </row>
    <row r="915" spans="1:17" x14ac:dyDescent="0.25">
      <c r="A915" s="8" t="str" cm="1">
        <f t="array" aca="1" ref="A915" ca="1">IF(INDIRECT("'Student_Record 1'!A" &amp; ROW())="", "", INDIRECT("'Student_Record 1'!A" &amp; ROW()))</f>
        <v/>
      </c>
      <c r="B915" s="8" t="str" cm="1">
        <f t="array" aca="1" ref="B915" ca="1">IF(INDIRECT("'Student_Record 1'!C" &amp; ROW())="", "", INDIRECT("'Student_Record 1'!C" &amp; ROW()))</f>
        <v/>
      </c>
      <c r="C915" s="8" t="str" cm="1">
        <f t="array" aca="1" ref="C915" ca="1">IF(INDIRECT("'Student_Record 1'!E" &amp; ROW())="", "", INDIRECT("'Student_Record 1'!E" &amp; ROW()))</f>
        <v/>
      </c>
      <c r="D915" s="8" t="str" cm="1">
        <f t="array" aca="1" ref="D915" ca="1">IF(INDIRECT("'Student_Record 1'!G" &amp; ROW())="", "", INDIRECT("'Student_Record 1'!G" &amp; ROW()))</f>
        <v/>
      </c>
      <c r="E915" s="8" t="str" cm="1">
        <f t="array" aca="1" ref="E915" ca="1">IF(INDIRECT("'Student_Record 1'!I" &amp; ROW())="", "", INDIRECT("'Student_Record 1'!I" &amp; ROW()))</f>
        <v/>
      </c>
      <c r="F915" s="8" t="str" cm="1">
        <f t="array" aca="1" ref="F915" ca="1">IF(INDIRECT("'Student_Record 1'!O" &amp; ROW())="", "", INDIRECT("'Student_Record 1'!O" &amp; ROW()))</f>
        <v/>
      </c>
      <c r="G915" s="11"/>
      <c r="I915" s="11"/>
      <c r="J915" s="11"/>
      <c r="K915" s="11"/>
      <c r="L915" s="11"/>
      <c r="M915" s="11"/>
      <c r="N915" s="11"/>
      <c r="O915" s="11"/>
      <c r="P915" s="11"/>
      <c r="Q915" s="11"/>
    </row>
    <row r="916" spans="1:17" x14ac:dyDescent="0.25">
      <c r="A916" s="8" t="str" cm="1">
        <f t="array" aca="1" ref="A916" ca="1">IF(INDIRECT("'Student_Record 1'!A" &amp; ROW())="", "", INDIRECT("'Student_Record 1'!A" &amp; ROW()))</f>
        <v/>
      </c>
      <c r="B916" s="8" t="str" cm="1">
        <f t="array" aca="1" ref="B916" ca="1">IF(INDIRECT("'Student_Record 1'!C" &amp; ROW())="", "", INDIRECT("'Student_Record 1'!C" &amp; ROW()))</f>
        <v/>
      </c>
      <c r="C916" s="8" t="str" cm="1">
        <f t="array" aca="1" ref="C916" ca="1">IF(INDIRECT("'Student_Record 1'!E" &amp; ROW())="", "", INDIRECT("'Student_Record 1'!E" &amp; ROW()))</f>
        <v/>
      </c>
      <c r="D916" s="8" t="str" cm="1">
        <f t="array" aca="1" ref="D916" ca="1">IF(INDIRECT("'Student_Record 1'!G" &amp; ROW())="", "", INDIRECT("'Student_Record 1'!G" &amp; ROW()))</f>
        <v/>
      </c>
      <c r="E916" s="8" t="str" cm="1">
        <f t="array" aca="1" ref="E916" ca="1">IF(INDIRECT("'Student_Record 1'!I" &amp; ROW())="", "", INDIRECT("'Student_Record 1'!I" &amp; ROW()))</f>
        <v/>
      </c>
      <c r="F916" s="8" t="str" cm="1">
        <f t="array" aca="1" ref="F916" ca="1">IF(INDIRECT("'Student_Record 1'!O" &amp; ROW())="", "", INDIRECT("'Student_Record 1'!O" &amp; ROW()))</f>
        <v/>
      </c>
      <c r="G916" s="11"/>
      <c r="I916" s="11"/>
      <c r="J916" s="11"/>
      <c r="K916" s="11"/>
      <c r="L916" s="11"/>
      <c r="M916" s="11"/>
      <c r="N916" s="11"/>
      <c r="O916" s="11"/>
      <c r="P916" s="11"/>
      <c r="Q916" s="11"/>
    </row>
    <row r="917" spans="1:17" x14ac:dyDescent="0.25">
      <c r="A917" s="8" t="str" cm="1">
        <f t="array" aca="1" ref="A917" ca="1">IF(INDIRECT("'Student_Record 1'!A" &amp; ROW())="", "", INDIRECT("'Student_Record 1'!A" &amp; ROW()))</f>
        <v/>
      </c>
      <c r="B917" s="8" t="str" cm="1">
        <f t="array" aca="1" ref="B917" ca="1">IF(INDIRECT("'Student_Record 1'!C" &amp; ROW())="", "", INDIRECT("'Student_Record 1'!C" &amp; ROW()))</f>
        <v/>
      </c>
      <c r="C917" s="8" t="str" cm="1">
        <f t="array" aca="1" ref="C917" ca="1">IF(INDIRECT("'Student_Record 1'!E" &amp; ROW())="", "", INDIRECT("'Student_Record 1'!E" &amp; ROW()))</f>
        <v/>
      </c>
      <c r="D917" s="8" t="str" cm="1">
        <f t="array" aca="1" ref="D917" ca="1">IF(INDIRECT("'Student_Record 1'!G" &amp; ROW())="", "", INDIRECT("'Student_Record 1'!G" &amp; ROW()))</f>
        <v/>
      </c>
      <c r="E917" s="8" t="str" cm="1">
        <f t="array" aca="1" ref="E917" ca="1">IF(INDIRECT("'Student_Record 1'!I" &amp; ROW())="", "", INDIRECT("'Student_Record 1'!I" &amp; ROW()))</f>
        <v/>
      </c>
      <c r="F917" s="8" t="str" cm="1">
        <f t="array" aca="1" ref="F917" ca="1">IF(INDIRECT("'Student_Record 1'!O" &amp; ROW())="", "", INDIRECT("'Student_Record 1'!O" &amp; ROW()))</f>
        <v/>
      </c>
      <c r="G917" s="11"/>
      <c r="I917" s="11"/>
      <c r="J917" s="11"/>
      <c r="K917" s="11"/>
      <c r="L917" s="11"/>
      <c r="M917" s="11"/>
      <c r="N917" s="11"/>
      <c r="O917" s="11"/>
      <c r="P917" s="11"/>
      <c r="Q917" s="11"/>
    </row>
    <row r="918" spans="1:17" x14ac:dyDescent="0.25">
      <c r="A918" s="8" t="str" cm="1">
        <f t="array" aca="1" ref="A918" ca="1">IF(INDIRECT("'Student_Record 1'!A" &amp; ROW())="", "", INDIRECT("'Student_Record 1'!A" &amp; ROW()))</f>
        <v/>
      </c>
      <c r="B918" s="8" t="str" cm="1">
        <f t="array" aca="1" ref="B918" ca="1">IF(INDIRECT("'Student_Record 1'!C" &amp; ROW())="", "", INDIRECT("'Student_Record 1'!C" &amp; ROW()))</f>
        <v/>
      </c>
      <c r="C918" s="8" t="str" cm="1">
        <f t="array" aca="1" ref="C918" ca="1">IF(INDIRECT("'Student_Record 1'!E" &amp; ROW())="", "", INDIRECT("'Student_Record 1'!E" &amp; ROW()))</f>
        <v/>
      </c>
      <c r="D918" s="8" t="str" cm="1">
        <f t="array" aca="1" ref="D918" ca="1">IF(INDIRECT("'Student_Record 1'!G" &amp; ROW())="", "", INDIRECT("'Student_Record 1'!G" &amp; ROW()))</f>
        <v/>
      </c>
      <c r="E918" s="8" t="str" cm="1">
        <f t="array" aca="1" ref="E918" ca="1">IF(INDIRECT("'Student_Record 1'!I" &amp; ROW())="", "", INDIRECT("'Student_Record 1'!I" &amp; ROW()))</f>
        <v/>
      </c>
      <c r="F918" s="8" t="str" cm="1">
        <f t="array" aca="1" ref="F918" ca="1">IF(INDIRECT("'Student_Record 1'!O" &amp; ROW())="", "", INDIRECT("'Student_Record 1'!O" &amp; ROW()))</f>
        <v/>
      </c>
      <c r="G918" s="11"/>
      <c r="I918" s="11"/>
      <c r="J918" s="11"/>
      <c r="K918" s="11"/>
      <c r="L918" s="11"/>
      <c r="M918" s="11"/>
      <c r="N918" s="11"/>
      <c r="O918" s="11"/>
      <c r="P918" s="11"/>
      <c r="Q918" s="11"/>
    </row>
    <row r="919" spans="1:17" x14ac:dyDescent="0.25">
      <c r="A919" s="8" t="str" cm="1">
        <f t="array" aca="1" ref="A919" ca="1">IF(INDIRECT("'Student_Record 1'!A" &amp; ROW())="", "", INDIRECT("'Student_Record 1'!A" &amp; ROW()))</f>
        <v/>
      </c>
      <c r="B919" s="8" t="str" cm="1">
        <f t="array" aca="1" ref="B919" ca="1">IF(INDIRECT("'Student_Record 1'!C" &amp; ROW())="", "", INDIRECT("'Student_Record 1'!C" &amp; ROW()))</f>
        <v/>
      </c>
      <c r="C919" s="8" t="str" cm="1">
        <f t="array" aca="1" ref="C919" ca="1">IF(INDIRECT("'Student_Record 1'!E" &amp; ROW())="", "", INDIRECT("'Student_Record 1'!E" &amp; ROW()))</f>
        <v/>
      </c>
      <c r="D919" s="8" t="str" cm="1">
        <f t="array" aca="1" ref="D919" ca="1">IF(INDIRECT("'Student_Record 1'!G" &amp; ROW())="", "", INDIRECT("'Student_Record 1'!G" &amp; ROW()))</f>
        <v/>
      </c>
      <c r="E919" s="8" t="str" cm="1">
        <f t="array" aca="1" ref="E919" ca="1">IF(INDIRECT("'Student_Record 1'!I" &amp; ROW())="", "", INDIRECT("'Student_Record 1'!I" &amp; ROW()))</f>
        <v/>
      </c>
      <c r="F919" s="8" t="str" cm="1">
        <f t="array" aca="1" ref="F919" ca="1">IF(INDIRECT("'Student_Record 1'!O" &amp; ROW())="", "", INDIRECT("'Student_Record 1'!O" &amp; ROW()))</f>
        <v/>
      </c>
      <c r="G919" s="11"/>
      <c r="I919" s="11"/>
      <c r="J919" s="11"/>
      <c r="K919" s="11"/>
      <c r="L919" s="11"/>
      <c r="M919" s="11"/>
      <c r="N919" s="11"/>
      <c r="O919" s="11"/>
      <c r="P919" s="11"/>
      <c r="Q919" s="11"/>
    </row>
    <row r="920" spans="1:17" x14ac:dyDescent="0.25">
      <c r="A920" s="8" t="str" cm="1">
        <f t="array" aca="1" ref="A920" ca="1">IF(INDIRECT("'Student_Record 1'!A" &amp; ROW())="", "", INDIRECT("'Student_Record 1'!A" &amp; ROW()))</f>
        <v/>
      </c>
      <c r="B920" s="8" t="str" cm="1">
        <f t="array" aca="1" ref="B920" ca="1">IF(INDIRECT("'Student_Record 1'!C" &amp; ROW())="", "", INDIRECT("'Student_Record 1'!C" &amp; ROW()))</f>
        <v/>
      </c>
      <c r="C920" s="8" t="str" cm="1">
        <f t="array" aca="1" ref="C920" ca="1">IF(INDIRECT("'Student_Record 1'!E" &amp; ROW())="", "", INDIRECT("'Student_Record 1'!E" &amp; ROW()))</f>
        <v/>
      </c>
      <c r="D920" s="8" t="str" cm="1">
        <f t="array" aca="1" ref="D920" ca="1">IF(INDIRECT("'Student_Record 1'!G" &amp; ROW())="", "", INDIRECT("'Student_Record 1'!G" &amp; ROW()))</f>
        <v/>
      </c>
      <c r="E920" s="8" t="str" cm="1">
        <f t="array" aca="1" ref="E920" ca="1">IF(INDIRECT("'Student_Record 1'!I" &amp; ROW())="", "", INDIRECT("'Student_Record 1'!I" &amp; ROW()))</f>
        <v/>
      </c>
      <c r="F920" s="8" t="str" cm="1">
        <f t="array" aca="1" ref="F920" ca="1">IF(INDIRECT("'Student_Record 1'!O" &amp; ROW())="", "", INDIRECT("'Student_Record 1'!O" &amp; ROW()))</f>
        <v/>
      </c>
      <c r="G920" s="11"/>
      <c r="I920" s="11"/>
      <c r="J920" s="11"/>
      <c r="K920" s="11"/>
      <c r="L920" s="11"/>
      <c r="M920" s="11"/>
      <c r="N920" s="11"/>
      <c r="O920" s="11"/>
      <c r="P920" s="11"/>
      <c r="Q920" s="11"/>
    </row>
    <row r="921" spans="1:17" x14ac:dyDescent="0.25">
      <c r="A921" s="8" t="str" cm="1">
        <f t="array" aca="1" ref="A921" ca="1">IF(INDIRECT("'Student_Record 1'!A" &amp; ROW())="", "", INDIRECT("'Student_Record 1'!A" &amp; ROW()))</f>
        <v/>
      </c>
      <c r="B921" s="8" t="str" cm="1">
        <f t="array" aca="1" ref="B921" ca="1">IF(INDIRECT("'Student_Record 1'!C" &amp; ROW())="", "", INDIRECT("'Student_Record 1'!C" &amp; ROW()))</f>
        <v/>
      </c>
      <c r="C921" s="8" t="str" cm="1">
        <f t="array" aca="1" ref="C921" ca="1">IF(INDIRECT("'Student_Record 1'!E" &amp; ROW())="", "", INDIRECT("'Student_Record 1'!E" &amp; ROW()))</f>
        <v/>
      </c>
      <c r="D921" s="8" t="str" cm="1">
        <f t="array" aca="1" ref="D921" ca="1">IF(INDIRECT("'Student_Record 1'!G" &amp; ROW())="", "", INDIRECT("'Student_Record 1'!G" &amp; ROW()))</f>
        <v/>
      </c>
      <c r="E921" s="8" t="str" cm="1">
        <f t="array" aca="1" ref="E921" ca="1">IF(INDIRECT("'Student_Record 1'!I" &amp; ROW())="", "", INDIRECT("'Student_Record 1'!I" &amp; ROW()))</f>
        <v/>
      </c>
      <c r="F921" s="8" t="str" cm="1">
        <f t="array" aca="1" ref="F921" ca="1">IF(INDIRECT("'Student_Record 1'!O" &amp; ROW())="", "", INDIRECT("'Student_Record 1'!O" &amp; ROW()))</f>
        <v/>
      </c>
      <c r="G921" s="11"/>
      <c r="I921" s="11"/>
      <c r="J921" s="11"/>
      <c r="K921" s="11"/>
      <c r="L921" s="11"/>
      <c r="M921" s="11"/>
      <c r="N921" s="11"/>
      <c r="O921" s="11"/>
      <c r="P921" s="11"/>
      <c r="Q921" s="11"/>
    </row>
    <row r="922" spans="1:17" x14ac:dyDescent="0.25">
      <c r="A922" s="8" t="str" cm="1">
        <f t="array" aca="1" ref="A922" ca="1">IF(INDIRECT("'Student_Record 1'!A" &amp; ROW())="", "", INDIRECT("'Student_Record 1'!A" &amp; ROW()))</f>
        <v/>
      </c>
      <c r="B922" s="8" t="str" cm="1">
        <f t="array" aca="1" ref="B922" ca="1">IF(INDIRECT("'Student_Record 1'!C" &amp; ROW())="", "", INDIRECT("'Student_Record 1'!C" &amp; ROW()))</f>
        <v/>
      </c>
      <c r="C922" s="8" t="str" cm="1">
        <f t="array" aca="1" ref="C922" ca="1">IF(INDIRECT("'Student_Record 1'!E" &amp; ROW())="", "", INDIRECT("'Student_Record 1'!E" &amp; ROW()))</f>
        <v/>
      </c>
      <c r="D922" s="8" t="str" cm="1">
        <f t="array" aca="1" ref="D922" ca="1">IF(INDIRECT("'Student_Record 1'!G" &amp; ROW())="", "", INDIRECT("'Student_Record 1'!G" &amp; ROW()))</f>
        <v/>
      </c>
      <c r="E922" s="8" t="str" cm="1">
        <f t="array" aca="1" ref="E922" ca="1">IF(INDIRECT("'Student_Record 1'!I" &amp; ROW())="", "", INDIRECT("'Student_Record 1'!I" &amp; ROW()))</f>
        <v/>
      </c>
      <c r="F922" s="8" t="str" cm="1">
        <f t="array" aca="1" ref="F922" ca="1">IF(INDIRECT("'Student_Record 1'!O" &amp; ROW())="", "", INDIRECT("'Student_Record 1'!O" &amp; ROW()))</f>
        <v/>
      </c>
      <c r="G922" s="11"/>
      <c r="I922" s="11"/>
      <c r="J922" s="11"/>
      <c r="K922" s="11"/>
      <c r="L922" s="11"/>
      <c r="M922" s="11"/>
      <c r="N922" s="11"/>
      <c r="O922" s="11"/>
      <c r="P922" s="11"/>
      <c r="Q922" s="11"/>
    </row>
    <row r="923" spans="1:17" x14ac:dyDescent="0.25">
      <c r="A923" s="8" t="str" cm="1">
        <f t="array" aca="1" ref="A923" ca="1">IF(INDIRECT("'Student_Record 1'!A" &amp; ROW())="", "", INDIRECT("'Student_Record 1'!A" &amp; ROW()))</f>
        <v/>
      </c>
      <c r="B923" s="8" t="str" cm="1">
        <f t="array" aca="1" ref="B923" ca="1">IF(INDIRECT("'Student_Record 1'!C" &amp; ROW())="", "", INDIRECT("'Student_Record 1'!C" &amp; ROW()))</f>
        <v/>
      </c>
      <c r="C923" s="8" t="str" cm="1">
        <f t="array" aca="1" ref="C923" ca="1">IF(INDIRECT("'Student_Record 1'!E" &amp; ROW())="", "", INDIRECT("'Student_Record 1'!E" &amp; ROW()))</f>
        <v/>
      </c>
      <c r="D923" s="8" t="str" cm="1">
        <f t="array" aca="1" ref="D923" ca="1">IF(INDIRECT("'Student_Record 1'!G" &amp; ROW())="", "", INDIRECT("'Student_Record 1'!G" &amp; ROW()))</f>
        <v/>
      </c>
      <c r="E923" s="8" t="str" cm="1">
        <f t="array" aca="1" ref="E923" ca="1">IF(INDIRECT("'Student_Record 1'!I" &amp; ROW())="", "", INDIRECT("'Student_Record 1'!I" &amp; ROW()))</f>
        <v/>
      </c>
      <c r="F923" s="8" t="str" cm="1">
        <f t="array" aca="1" ref="F923" ca="1">IF(INDIRECT("'Student_Record 1'!O" &amp; ROW())="", "", INDIRECT("'Student_Record 1'!O" &amp; ROW()))</f>
        <v/>
      </c>
      <c r="G923" s="11"/>
      <c r="I923" s="11"/>
      <c r="J923" s="11"/>
      <c r="K923" s="11"/>
      <c r="L923" s="11"/>
      <c r="M923" s="11"/>
      <c r="N923" s="11"/>
      <c r="O923" s="11"/>
      <c r="P923" s="11"/>
      <c r="Q923" s="11"/>
    </row>
    <row r="924" spans="1:17" x14ac:dyDescent="0.25">
      <c r="A924" s="8" t="str" cm="1">
        <f t="array" aca="1" ref="A924" ca="1">IF(INDIRECT("'Student_Record 1'!A" &amp; ROW())="", "", INDIRECT("'Student_Record 1'!A" &amp; ROW()))</f>
        <v/>
      </c>
      <c r="B924" s="8" t="str" cm="1">
        <f t="array" aca="1" ref="B924" ca="1">IF(INDIRECT("'Student_Record 1'!C" &amp; ROW())="", "", INDIRECT("'Student_Record 1'!C" &amp; ROW()))</f>
        <v/>
      </c>
      <c r="C924" s="8" t="str" cm="1">
        <f t="array" aca="1" ref="C924" ca="1">IF(INDIRECT("'Student_Record 1'!E" &amp; ROW())="", "", INDIRECT("'Student_Record 1'!E" &amp; ROW()))</f>
        <v/>
      </c>
      <c r="D924" s="8" t="str" cm="1">
        <f t="array" aca="1" ref="D924" ca="1">IF(INDIRECT("'Student_Record 1'!G" &amp; ROW())="", "", INDIRECT("'Student_Record 1'!G" &amp; ROW()))</f>
        <v/>
      </c>
      <c r="E924" s="8" t="str" cm="1">
        <f t="array" aca="1" ref="E924" ca="1">IF(INDIRECT("'Student_Record 1'!I" &amp; ROW())="", "", INDIRECT("'Student_Record 1'!I" &amp; ROW()))</f>
        <v/>
      </c>
      <c r="F924" s="8" t="str" cm="1">
        <f t="array" aca="1" ref="F924" ca="1">IF(INDIRECT("'Student_Record 1'!O" &amp; ROW())="", "", INDIRECT("'Student_Record 1'!O" &amp; ROW()))</f>
        <v/>
      </c>
      <c r="G924" s="11"/>
      <c r="I924" s="11"/>
      <c r="J924" s="11"/>
      <c r="K924" s="11"/>
      <c r="L924" s="11"/>
      <c r="M924" s="11"/>
      <c r="N924" s="11"/>
      <c r="O924" s="11"/>
      <c r="P924" s="11"/>
      <c r="Q924" s="11"/>
    </row>
    <row r="925" spans="1:17" x14ac:dyDescent="0.25">
      <c r="A925" s="8" t="str" cm="1">
        <f t="array" aca="1" ref="A925" ca="1">IF(INDIRECT("'Student_Record 1'!A" &amp; ROW())="", "", INDIRECT("'Student_Record 1'!A" &amp; ROW()))</f>
        <v/>
      </c>
      <c r="B925" s="8" t="str" cm="1">
        <f t="array" aca="1" ref="B925" ca="1">IF(INDIRECT("'Student_Record 1'!C" &amp; ROW())="", "", INDIRECT("'Student_Record 1'!C" &amp; ROW()))</f>
        <v/>
      </c>
      <c r="C925" s="8" t="str" cm="1">
        <f t="array" aca="1" ref="C925" ca="1">IF(INDIRECT("'Student_Record 1'!E" &amp; ROW())="", "", INDIRECT("'Student_Record 1'!E" &amp; ROW()))</f>
        <v/>
      </c>
      <c r="D925" s="8" t="str" cm="1">
        <f t="array" aca="1" ref="D925" ca="1">IF(INDIRECT("'Student_Record 1'!G" &amp; ROW())="", "", INDIRECT("'Student_Record 1'!G" &amp; ROW()))</f>
        <v/>
      </c>
      <c r="E925" s="8" t="str" cm="1">
        <f t="array" aca="1" ref="E925" ca="1">IF(INDIRECT("'Student_Record 1'!I" &amp; ROW())="", "", INDIRECT("'Student_Record 1'!I" &amp; ROW()))</f>
        <v/>
      </c>
      <c r="F925" s="8" t="str" cm="1">
        <f t="array" aca="1" ref="F925" ca="1">IF(INDIRECT("'Student_Record 1'!O" &amp; ROW())="", "", INDIRECT("'Student_Record 1'!O" &amp; ROW()))</f>
        <v/>
      </c>
      <c r="G925" s="11"/>
      <c r="I925" s="11"/>
      <c r="J925" s="11"/>
      <c r="K925" s="11"/>
      <c r="L925" s="11"/>
      <c r="M925" s="11"/>
      <c r="N925" s="11"/>
      <c r="O925" s="11"/>
      <c r="P925" s="11"/>
      <c r="Q925" s="11"/>
    </row>
    <row r="926" spans="1:17" x14ac:dyDescent="0.25">
      <c r="A926" s="8" t="str" cm="1">
        <f t="array" aca="1" ref="A926" ca="1">IF(INDIRECT("'Student_Record 1'!A" &amp; ROW())="", "", INDIRECT("'Student_Record 1'!A" &amp; ROW()))</f>
        <v/>
      </c>
      <c r="B926" s="8" t="str" cm="1">
        <f t="array" aca="1" ref="B926" ca="1">IF(INDIRECT("'Student_Record 1'!C" &amp; ROW())="", "", INDIRECT("'Student_Record 1'!C" &amp; ROW()))</f>
        <v/>
      </c>
      <c r="C926" s="8" t="str" cm="1">
        <f t="array" aca="1" ref="C926" ca="1">IF(INDIRECT("'Student_Record 1'!E" &amp; ROW())="", "", INDIRECT("'Student_Record 1'!E" &amp; ROW()))</f>
        <v/>
      </c>
      <c r="D926" s="8" t="str" cm="1">
        <f t="array" aca="1" ref="D926" ca="1">IF(INDIRECT("'Student_Record 1'!G" &amp; ROW())="", "", INDIRECT("'Student_Record 1'!G" &amp; ROW()))</f>
        <v/>
      </c>
      <c r="E926" s="8" t="str" cm="1">
        <f t="array" aca="1" ref="E926" ca="1">IF(INDIRECT("'Student_Record 1'!I" &amp; ROW())="", "", INDIRECT("'Student_Record 1'!I" &amp; ROW()))</f>
        <v/>
      </c>
      <c r="F926" s="8" t="str" cm="1">
        <f t="array" aca="1" ref="F926" ca="1">IF(INDIRECT("'Student_Record 1'!O" &amp; ROW())="", "", INDIRECT("'Student_Record 1'!O" &amp; ROW()))</f>
        <v/>
      </c>
      <c r="G926" s="11"/>
      <c r="I926" s="11"/>
      <c r="J926" s="11"/>
      <c r="K926" s="11"/>
      <c r="L926" s="11"/>
      <c r="M926" s="11"/>
      <c r="N926" s="11"/>
      <c r="O926" s="11"/>
      <c r="P926" s="11"/>
      <c r="Q926" s="11"/>
    </row>
    <row r="927" spans="1:17" x14ac:dyDescent="0.25">
      <c r="A927" s="8" t="str" cm="1">
        <f t="array" aca="1" ref="A927" ca="1">IF(INDIRECT("'Student_Record 1'!A" &amp; ROW())="", "", INDIRECT("'Student_Record 1'!A" &amp; ROW()))</f>
        <v/>
      </c>
      <c r="B927" s="8" t="str" cm="1">
        <f t="array" aca="1" ref="B927" ca="1">IF(INDIRECT("'Student_Record 1'!C" &amp; ROW())="", "", INDIRECT("'Student_Record 1'!C" &amp; ROW()))</f>
        <v/>
      </c>
      <c r="C927" s="8" t="str" cm="1">
        <f t="array" aca="1" ref="C927" ca="1">IF(INDIRECT("'Student_Record 1'!E" &amp; ROW())="", "", INDIRECT("'Student_Record 1'!E" &amp; ROW()))</f>
        <v/>
      </c>
      <c r="D927" s="8" t="str" cm="1">
        <f t="array" aca="1" ref="D927" ca="1">IF(INDIRECT("'Student_Record 1'!G" &amp; ROW())="", "", INDIRECT("'Student_Record 1'!G" &amp; ROW()))</f>
        <v/>
      </c>
      <c r="E927" s="8" t="str" cm="1">
        <f t="array" aca="1" ref="E927" ca="1">IF(INDIRECT("'Student_Record 1'!I" &amp; ROW())="", "", INDIRECT("'Student_Record 1'!I" &amp; ROW()))</f>
        <v/>
      </c>
      <c r="F927" s="8" t="str" cm="1">
        <f t="array" aca="1" ref="F927" ca="1">IF(INDIRECT("'Student_Record 1'!O" &amp; ROW())="", "", INDIRECT("'Student_Record 1'!O" &amp; ROW()))</f>
        <v/>
      </c>
      <c r="G927" s="11"/>
      <c r="I927" s="11"/>
      <c r="J927" s="11"/>
      <c r="K927" s="11"/>
      <c r="L927" s="11"/>
      <c r="M927" s="11"/>
      <c r="N927" s="11"/>
      <c r="O927" s="11"/>
      <c r="P927" s="11"/>
      <c r="Q927" s="11"/>
    </row>
    <row r="928" spans="1:17" x14ac:dyDescent="0.25">
      <c r="A928" s="8" t="str" cm="1">
        <f t="array" aca="1" ref="A928" ca="1">IF(INDIRECT("'Student_Record 1'!A" &amp; ROW())="", "", INDIRECT("'Student_Record 1'!A" &amp; ROW()))</f>
        <v/>
      </c>
      <c r="B928" s="8" t="str" cm="1">
        <f t="array" aca="1" ref="B928" ca="1">IF(INDIRECT("'Student_Record 1'!C" &amp; ROW())="", "", INDIRECT("'Student_Record 1'!C" &amp; ROW()))</f>
        <v/>
      </c>
      <c r="C928" s="8" t="str" cm="1">
        <f t="array" aca="1" ref="C928" ca="1">IF(INDIRECT("'Student_Record 1'!E" &amp; ROW())="", "", INDIRECT("'Student_Record 1'!E" &amp; ROW()))</f>
        <v/>
      </c>
      <c r="D928" s="8" t="str" cm="1">
        <f t="array" aca="1" ref="D928" ca="1">IF(INDIRECT("'Student_Record 1'!G" &amp; ROW())="", "", INDIRECT("'Student_Record 1'!G" &amp; ROW()))</f>
        <v/>
      </c>
      <c r="E928" s="8" t="str" cm="1">
        <f t="array" aca="1" ref="E928" ca="1">IF(INDIRECT("'Student_Record 1'!I" &amp; ROW())="", "", INDIRECT("'Student_Record 1'!I" &amp; ROW()))</f>
        <v/>
      </c>
      <c r="F928" s="8" t="str" cm="1">
        <f t="array" aca="1" ref="F928" ca="1">IF(INDIRECT("'Student_Record 1'!O" &amp; ROW())="", "", INDIRECT("'Student_Record 1'!O" &amp; ROW()))</f>
        <v/>
      </c>
      <c r="G928" s="11"/>
      <c r="I928" s="11"/>
      <c r="J928" s="11"/>
      <c r="K928" s="11"/>
      <c r="L928" s="11"/>
      <c r="M928" s="11"/>
      <c r="N928" s="11"/>
      <c r="O928" s="11"/>
      <c r="P928" s="11"/>
      <c r="Q928" s="11"/>
    </row>
    <row r="929" spans="1:17" x14ac:dyDescent="0.25">
      <c r="A929" s="8" t="str" cm="1">
        <f t="array" aca="1" ref="A929" ca="1">IF(INDIRECT("'Student_Record 1'!A" &amp; ROW())="", "", INDIRECT("'Student_Record 1'!A" &amp; ROW()))</f>
        <v/>
      </c>
      <c r="B929" s="8" t="str" cm="1">
        <f t="array" aca="1" ref="B929" ca="1">IF(INDIRECT("'Student_Record 1'!C" &amp; ROW())="", "", INDIRECT("'Student_Record 1'!C" &amp; ROW()))</f>
        <v/>
      </c>
      <c r="C929" s="8" t="str" cm="1">
        <f t="array" aca="1" ref="C929" ca="1">IF(INDIRECT("'Student_Record 1'!E" &amp; ROW())="", "", INDIRECT("'Student_Record 1'!E" &amp; ROW()))</f>
        <v/>
      </c>
      <c r="D929" s="8" t="str" cm="1">
        <f t="array" aca="1" ref="D929" ca="1">IF(INDIRECT("'Student_Record 1'!G" &amp; ROW())="", "", INDIRECT("'Student_Record 1'!G" &amp; ROW()))</f>
        <v/>
      </c>
      <c r="E929" s="8" t="str" cm="1">
        <f t="array" aca="1" ref="E929" ca="1">IF(INDIRECT("'Student_Record 1'!I" &amp; ROW())="", "", INDIRECT("'Student_Record 1'!I" &amp; ROW()))</f>
        <v/>
      </c>
      <c r="F929" s="8" t="str" cm="1">
        <f t="array" aca="1" ref="F929" ca="1">IF(INDIRECT("'Student_Record 1'!O" &amp; ROW())="", "", INDIRECT("'Student_Record 1'!O" &amp; ROW()))</f>
        <v/>
      </c>
      <c r="G929" s="11"/>
      <c r="I929" s="11"/>
      <c r="J929" s="11"/>
      <c r="K929" s="11"/>
      <c r="L929" s="11"/>
      <c r="M929" s="11"/>
      <c r="N929" s="11"/>
      <c r="O929" s="11"/>
      <c r="P929" s="11"/>
      <c r="Q929" s="11"/>
    </row>
    <row r="930" spans="1:17" x14ac:dyDescent="0.25">
      <c r="A930" s="8" t="str" cm="1">
        <f t="array" aca="1" ref="A930" ca="1">IF(INDIRECT("'Student_Record 1'!A" &amp; ROW())="", "", INDIRECT("'Student_Record 1'!A" &amp; ROW()))</f>
        <v/>
      </c>
      <c r="B930" s="8" t="str" cm="1">
        <f t="array" aca="1" ref="B930" ca="1">IF(INDIRECT("'Student_Record 1'!C" &amp; ROW())="", "", INDIRECT("'Student_Record 1'!C" &amp; ROW()))</f>
        <v/>
      </c>
      <c r="C930" s="8" t="str" cm="1">
        <f t="array" aca="1" ref="C930" ca="1">IF(INDIRECT("'Student_Record 1'!E" &amp; ROW())="", "", INDIRECT("'Student_Record 1'!E" &amp; ROW()))</f>
        <v/>
      </c>
      <c r="D930" s="8" t="str" cm="1">
        <f t="array" aca="1" ref="D930" ca="1">IF(INDIRECT("'Student_Record 1'!G" &amp; ROW())="", "", INDIRECT("'Student_Record 1'!G" &amp; ROW()))</f>
        <v/>
      </c>
      <c r="E930" s="8" t="str" cm="1">
        <f t="array" aca="1" ref="E930" ca="1">IF(INDIRECT("'Student_Record 1'!I" &amp; ROW())="", "", INDIRECT("'Student_Record 1'!I" &amp; ROW()))</f>
        <v/>
      </c>
      <c r="F930" s="8" t="str" cm="1">
        <f t="array" aca="1" ref="F930" ca="1">IF(INDIRECT("'Student_Record 1'!O" &amp; ROW())="", "", INDIRECT("'Student_Record 1'!O" &amp; ROW()))</f>
        <v/>
      </c>
      <c r="G930" s="11"/>
      <c r="I930" s="11"/>
      <c r="J930" s="11"/>
      <c r="K930" s="11"/>
      <c r="L930" s="11"/>
      <c r="M930" s="11"/>
      <c r="N930" s="11"/>
      <c r="O930" s="11"/>
      <c r="P930" s="11"/>
      <c r="Q930" s="11"/>
    </row>
    <row r="931" spans="1:17" x14ac:dyDescent="0.25">
      <c r="A931" s="8" t="str" cm="1">
        <f t="array" aca="1" ref="A931" ca="1">IF(INDIRECT("'Student_Record 1'!A" &amp; ROW())="", "", INDIRECT("'Student_Record 1'!A" &amp; ROW()))</f>
        <v/>
      </c>
      <c r="B931" s="8" t="str" cm="1">
        <f t="array" aca="1" ref="B931" ca="1">IF(INDIRECT("'Student_Record 1'!C" &amp; ROW())="", "", INDIRECT("'Student_Record 1'!C" &amp; ROW()))</f>
        <v/>
      </c>
      <c r="C931" s="8" t="str" cm="1">
        <f t="array" aca="1" ref="C931" ca="1">IF(INDIRECT("'Student_Record 1'!E" &amp; ROW())="", "", INDIRECT("'Student_Record 1'!E" &amp; ROW()))</f>
        <v/>
      </c>
      <c r="D931" s="8" t="str" cm="1">
        <f t="array" aca="1" ref="D931" ca="1">IF(INDIRECT("'Student_Record 1'!G" &amp; ROW())="", "", INDIRECT("'Student_Record 1'!G" &amp; ROW()))</f>
        <v/>
      </c>
      <c r="E931" s="8" t="str" cm="1">
        <f t="array" aca="1" ref="E931" ca="1">IF(INDIRECT("'Student_Record 1'!I" &amp; ROW())="", "", INDIRECT("'Student_Record 1'!I" &amp; ROW()))</f>
        <v/>
      </c>
      <c r="F931" s="8" t="str" cm="1">
        <f t="array" aca="1" ref="F931" ca="1">IF(INDIRECT("'Student_Record 1'!O" &amp; ROW())="", "", INDIRECT("'Student_Record 1'!O" &amp; ROW()))</f>
        <v/>
      </c>
      <c r="G931" s="11"/>
      <c r="I931" s="11"/>
      <c r="J931" s="11"/>
      <c r="K931" s="11"/>
      <c r="L931" s="11"/>
      <c r="M931" s="11"/>
      <c r="N931" s="11"/>
      <c r="O931" s="11"/>
      <c r="P931" s="11"/>
      <c r="Q931" s="11"/>
    </row>
    <row r="932" spans="1:17" x14ac:dyDescent="0.25">
      <c r="A932" s="8" t="str" cm="1">
        <f t="array" aca="1" ref="A932" ca="1">IF(INDIRECT("'Student_Record 1'!A" &amp; ROW())="", "", INDIRECT("'Student_Record 1'!A" &amp; ROW()))</f>
        <v/>
      </c>
      <c r="B932" s="8" t="str" cm="1">
        <f t="array" aca="1" ref="B932" ca="1">IF(INDIRECT("'Student_Record 1'!C" &amp; ROW())="", "", INDIRECT("'Student_Record 1'!C" &amp; ROW()))</f>
        <v/>
      </c>
      <c r="C932" s="8" t="str" cm="1">
        <f t="array" aca="1" ref="C932" ca="1">IF(INDIRECT("'Student_Record 1'!E" &amp; ROW())="", "", INDIRECT("'Student_Record 1'!E" &amp; ROW()))</f>
        <v/>
      </c>
      <c r="D932" s="8" t="str" cm="1">
        <f t="array" aca="1" ref="D932" ca="1">IF(INDIRECT("'Student_Record 1'!G" &amp; ROW())="", "", INDIRECT("'Student_Record 1'!G" &amp; ROW()))</f>
        <v/>
      </c>
      <c r="E932" s="8" t="str" cm="1">
        <f t="array" aca="1" ref="E932" ca="1">IF(INDIRECT("'Student_Record 1'!I" &amp; ROW())="", "", INDIRECT("'Student_Record 1'!I" &amp; ROW()))</f>
        <v/>
      </c>
      <c r="F932" s="8" t="str" cm="1">
        <f t="array" aca="1" ref="F932" ca="1">IF(INDIRECT("'Student_Record 1'!O" &amp; ROW())="", "", INDIRECT("'Student_Record 1'!O" &amp; ROW()))</f>
        <v/>
      </c>
      <c r="G932" s="11"/>
      <c r="I932" s="11"/>
      <c r="J932" s="11"/>
      <c r="K932" s="11"/>
      <c r="L932" s="11"/>
      <c r="M932" s="11"/>
      <c r="N932" s="11"/>
      <c r="O932" s="11"/>
      <c r="P932" s="11"/>
      <c r="Q932" s="11"/>
    </row>
    <row r="933" spans="1:17" x14ac:dyDescent="0.25">
      <c r="A933" s="8" t="str" cm="1">
        <f t="array" aca="1" ref="A933" ca="1">IF(INDIRECT("'Student_Record 1'!A" &amp; ROW())="", "", INDIRECT("'Student_Record 1'!A" &amp; ROW()))</f>
        <v/>
      </c>
      <c r="B933" s="8" t="str" cm="1">
        <f t="array" aca="1" ref="B933" ca="1">IF(INDIRECT("'Student_Record 1'!C" &amp; ROW())="", "", INDIRECT("'Student_Record 1'!C" &amp; ROW()))</f>
        <v/>
      </c>
      <c r="C933" s="8" t="str" cm="1">
        <f t="array" aca="1" ref="C933" ca="1">IF(INDIRECT("'Student_Record 1'!E" &amp; ROW())="", "", INDIRECT("'Student_Record 1'!E" &amp; ROW()))</f>
        <v/>
      </c>
      <c r="D933" s="8" t="str" cm="1">
        <f t="array" aca="1" ref="D933" ca="1">IF(INDIRECT("'Student_Record 1'!G" &amp; ROW())="", "", INDIRECT("'Student_Record 1'!G" &amp; ROW()))</f>
        <v/>
      </c>
      <c r="E933" s="8" t="str" cm="1">
        <f t="array" aca="1" ref="E933" ca="1">IF(INDIRECT("'Student_Record 1'!I" &amp; ROW())="", "", INDIRECT("'Student_Record 1'!I" &amp; ROW()))</f>
        <v/>
      </c>
      <c r="F933" s="8" t="str" cm="1">
        <f t="array" aca="1" ref="F933" ca="1">IF(INDIRECT("'Student_Record 1'!O" &amp; ROW())="", "", INDIRECT("'Student_Record 1'!O" &amp; ROW()))</f>
        <v/>
      </c>
      <c r="G933" s="11"/>
      <c r="I933" s="11"/>
      <c r="J933" s="11"/>
      <c r="K933" s="11"/>
      <c r="L933" s="11"/>
      <c r="M933" s="11"/>
      <c r="N933" s="11"/>
      <c r="O933" s="11"/>
      <c r="P933" s="11"/>
      <c r="Q933" s="11"/>
    </row>
    <row r="934" spans="1:17" x14ac:dyDescent="0.25">
      <c r="A934" s="8" t="str" cm="1">
        <f t="array" aca="1" ref="A934" ca="1">IF(INDIRECT("'Student_Record 1'!A" &amp; ROW())="", "", INDIRECT("'Student_Record 1'!A" &amp; ROW()))</f>
        <v/>
      </c>
      <c r="B934" s="8" t="str" cm="1">
        <f t="array" aca="1" ref="B934" ca="1">IF(INDIRECT("'Student_Record 1'!C" &amp; ROW())="", "", INDIRECT("'Student_Record 1'!C" &amp; ROW()))</f>
        <v/>
      </c>
      <c r="C934" s="8" t="str" cm="1">
        <f t="array" aca="1" ref="C934" ca="1">IF(INDIRECT("'Student_Record 1'!E" &amp; ROW())="", "", INDIRECT("'Student_Record 1'!E" &amp; ROW()))</f>
        <v/>
      </c>
      <c r="D934" s="8" t="str" cm="1">
        <f t="array" aca="1" ref="D934" ca="1">IF(INDIRECT("'Student_Record 1'!G" &amp; ROW())="", "", INDIRECT("'Student_Record 1'!G" &amp; ROW()))</f>
        <v/>
      </c>
      <c r="E934" s="8" t="str" cm="1">
        <f t="array" aca="1" ref="E934" ca="1">IF(INDIRECT("'Student_Record 1'!I" &amp; ROW())="", "", INDIRECT("'Student_Record 1'!I" &amp; ROW()))</f>
        <v/>
      </c>
      <c r="F934" s="8" t="str" cm="1">
        <f t="array" aca="1" ref="F934" ca="1">IF(INDIRECT("'Student_Record 1'!O" &amp; ROW())="", "", INDIRECT("'Student_Record 1'!O" &amp; ROW()))</f>
        <v/>
      </c>
      <c r="G934" s="11"/>
      <c r="I934" s="11"/>
      <c r="J934" s="11"/>
      <c r="K934" s="11"/>
      <c r="L934" s="11"/>
      <c r="M934" s="11"/>
      <c r="N934" s="11"/>
      <c r="O934" s="11"/>
      <c r="P934" s="11"/>
      <c r="Q934" s="11"/>
    </row>
    <row r="935" spans="1:17" x14ac:dyDescent="0.25">
      <c r="A935" s="8" t="str" cm="1">
        <f t="array" aca="1" ref="A935" ca="1">IF(INDIRECT("'Student_Record 1'!A" &amp; ROW())="", "", INDIRECT("'Student_Record 1'!A" &amp; ROW()))</f>
        <v/>
      </c>
      <c r="B935" s="8" t="str" cm="1">
        <f t="array" aca="1" ref="B935" ca="1">IF(INDIRECT("'Student_Record 1'!C" &amp; ROW())="", "", INDIRECT("'Student_Record 1'!C" &amp; ROW()))</f>
        <v/>
      </c>
      <c r="C935" s="8" t="str" cm="1">
        <f t="array" aca="1" ref="C935" ca="1">IF(INDIRECT("'Student_Record 1'!E" &amp; ROW())="", "", INDIRECT("'Student_Record 1'!E" &amp; ROW()))</f>
        <v/>
      </c>
      <c r="D935" s="8" t="str" cm="1">
        <f t="array" aca="1" ref="D935" ca="1">IF(INDIRECT("'Student_Record 1'!G" &amp; ROW())="", "", INDIRECT("'Student_Record 1'!G" &amp; ROW()))</f>
        <v/>
      </c>
      <c r="E935" s="8" t="str" cm="1">
        <f t="array" aca="1" ref="E935" ca="1">IF(INDIRECT("'Student_Record 1'!I" &amp; ROW())="", "", INDIRECT("'Student_Record 1'!I" &amp; ROW()))</f>
        <v/>
      </c>
      <c r="F935" s="8" t="str" cm="1">
        <f t="array" aca="1" ref="F935" ca="1">IF(INDIRECT("'Student_Record 1'!O" &amp; ROW())="", "", INDIRECT("'Student_Record 1'!O" &amp; ROW()))</f>
        <v/>
      </c>
      <c r="G935" s="11"/>
      <c r="I935" s="11"/>
      <c r="J935" s="11"/>
      <c r="K935" s="11"/>
      <c r="L935" s="11"/>
      <c r="M935" s="11"/>
      <c r="N935" s="11"/>
      <c r="O935" s="11"/>
      <c r="P935" s="11"/>
      <c r="Q935" s="11"/>
    </row>
    <row r="936" spans="1:17" x14ac:dyDescent="0.25">
      <c r="A936" s="8" t="str" cm="1">
        <f t="array" aca="1" ref="A936" ca="1">IF(INDIRECT("'Student_Record 1'!A" &amp; ROW())="", "", INDIRECT("'Student_Record 1'!A" &amp; ROW()))</f>
        <v/>
      </c>
      <c r="B936" s="8" t="str" cm="1">
        <f t="array" aca="1" ref="B936" ca="1">IF(INDIRECT("'Student_Record 1'!C" &amp; ROW())="", "", INDIRECT("'Student_Record 1'!C" &amp; ROW()))</f>
        <v/>
      </c>
      <c r="C936" s="8" t="str" cm="1">
        <f t="array" aca="1" ref="C936" ca="1">IF(INDIRECT("'Student_Record 1'!E" &amp; ROW())="", "", INDIRECT("'Student_Record 1'!E" &amp; ROW()))</f>
        <v/>
      </c>
      <c r="D936" s="8" t="str" cm="1">
        <f t="array" aca="1" ref="D936" ca="1">IF(INDIRECT("'Student_Record 1'!G" &amp; ROW())="", "", INDIRECT("'Student_Record 1'!G" &amp; ROW()))</f>
        <v/>
      </c>
      <c r="E936" s="8" t="str" cm="1">
        <f t="array" aca="1" ref="E936" ca="1">IF(INDIRECT("'Student_Record 1'!I" &amp; ROW())="", "", INDIRECT("'Student_Record 1'!I" &amp; ROW()))</f>
        <v/>
      </c>
      <c r="F936" s="8" t="str" cm="1">
        <f t="array" aca="1" ref="F936" ca="1">IF(INDIRECT("'Student_Record 1'!O" &amp; ROW())="", "", INDIRECT("'Student_Record 1'!O" &amp; ROW()))</f>
        <v/>
      </c>
      <c r="G936" s="11"/>
      <c r="I936" s="11"/>
      <c r="J936" s="11"/>
      <c r="K936" s="11"/>
      <c r="L936" s="11"/>
      <c r="M936" s="11"/>
      <c r="N936" s="11"/>
      <c r="O936" s="11"/>
      <c r="P936" s="11"/>
      <c r="Q936" s="11"/>
    </row>
    <row r="937" spans="1:17" x14ac:dyDescent="0.25">
      <c r="A937" s="8" t="str" cm="1">
        <f t="array" aca="1" ref="A937" ca="1">IF(INDIRECT("'Student_Record 1'!A" &amp; ROW())="", "", INDIRECT("'Student_Record 1'!A" &amp; ROW()))</f>
        <v/>
      </c>
      <c r="B937" s="8" t="str" cm="1">
        <f t="array" aca="1" ref="B937" ca="1">IF(INDIRECT("'Student_Record 1'!C" &amp; ROW())="", "", INDIRECT("'Student_Record 1'!C" &amp; ROW()))</f>
        <v/>
      </c>
      <c r="C937" s="8" t="str" cm="1">
        <f t="array" aca="1" ref="C937" ca="1">IF(INDIRECT("'Student_Record 1'!E" &amp; ROW())="", "", INDIRECT("'Student_Record 1'!E" &amp; ROW()))</f>
        <v/>
      </c>
      <c r="D937" s="8" t="str" cm="1">
        <f t="array" aca="1" ref="D937" ca="1">IF(INDIRECT("'Student_Record 1'!G" &amp; ROW())="", "", INDIRECT("'Student_Record 1'!G" &amp; ROW()))</f>
        <v/>
      </c>
      <c r="E937" s="8" t="str" cm="1">
        <f t="array" aca="1" ref="E937" ca="1">IF(INDIRECT("'Student_Record 1'!I" &amp; ROW())="", "", INDIRECT("'Student_Record 1'!I" &amp; ROW()))</f>
        <v/>
      </c>
      <c r="F937" s="8" t="str" cm="1">
        <f t="array" aca="1" ref="F937" ca="1">IF(INDIRECT("'Student_Record 1'!O" &amp; ROW())="", "", INDIRECT("'Student_Record 1'!O" &amp; ROW()))</f>
        <v/>
      </c>
      <c r="G937" s="11"/>
      <c r="I937" s="11"/>
      <c r="J937" s="11"/>
      <c r="K937" s="11"/>
      <c r="L937" s="11"/>
      <c r="M937" s="11"/>
      <c r="N937" s="11"/>
      <c r="O937" s="11"/>
      <c r="P937" s="11"/>
      <c r="Q937" s="11"/>
    </row>
    <row r="938" spans="1:17" x14ac:dyDescent="0.25">
      <c r="A938" s="8" t="str" cm="1">
        <f t="array" aca="1" ref="A938" ca="1">IF(INDIRECT("'Student_Record 1'!A" &amp; ROW())="", "", INDIRECT("'Student_Record 1'!A" &amp; ROW()))</f>
        <v/>
      </c>
      <c r="B938" s="8" t="str" cm="1">
        <f t="array" aca="1" ref="B938" ca="1">IF(INDIRECT("'Student_Record 1'!C" &amp; ROW())="", "", INDIRECT("'Student_Record 1'!C" &amp; ROW()))</f>
        <v/>
      </c>
      <c r="C938" s="8" t="str" cm="1">
        <f t="array" aca="1" ref="C938" ca="1">IF(INDIRECT("'Student_Record 1'!E" &amp; ROW())="", "", INDIRECT("'Student_Record 1'!E" &amp; ROW()))</f>
        <v/>
      </c>
      <c r="D938" s="8" t="str" cm="1">
        <f t="array" aca="1" ref="D938" ca="1">IF(INDIRECT("'Student_Record 1'!G" &amp; ROW())="", "", INDIRECT("'Student_Record 1'!G" &amp; ROW()))</f>
        <v/>
      </c>
      <c r="E938" s="8" t="str" cm="1">
        <f t="array" aca="1" ref="E938" ca="1">IF(INDIRECT("'Student_Record 1'!I" &amp; ROW())="", "", INDIRECT("'Student_Record 1'!I" &amp; ROW()))</f>
        <v/>
      </c>
      <c r="F938" s="8" t="str" cm="1">
        <f t="array" aca="1" ref="F938" ca="1">IF(INDIRECT("'Student_Record 1'!O" &amp; ROW())="", "", INDIRECT("'Student_Record 1'!O" &amp; ROW()))</f>
        <v/>
      </c>
      <c r="G938" s="11"/>
      <c r="I938" s="11"/>
      <c r="J938" s="11"/>
      <c r="K938" s="11"/>
      <c r="L938" s="11"/>
      <c r="M938" s="11"/>
      <c r="N938" s="11"/>
      <c r="O938" s="11"/>
      <c r="P938" s="11"/>
      <c r="Q938" s="11"/>
    </row>
    <row r="939" spans="1:17" x14ac:dyDescent="0.25">
      <c r="A939" s="8" t="str" cm="1">
        <f t="array" aca="1" ref="A939" ca="1">IF(INDIRECT("'Student_Record 1'!A" &amp; ROW())="", "", INDIRECT("'Student_Record 1'!A" &amp; ROW()))</f>
        <v/>
      </c>
      <c r="B939" s="8" t="str" cm="1">
        <f t="array" aca="1" ref="B939" ca="1">IF(INDIRECT("'Student_Record 1'!C" &amp; ROW())="", "", INDIRECT("'Student_Record 1'!C" &amp; ROW()))</f>
        <v/>
      </c>
      <c r="C939" s="8" t="str" cm="1">
        <f t="array" aca="1" ref="C939" ca="1">IF(INDIRECT("'Student_Record 1'!E" &amp; ROW())="", "", INDIRECT("'Student_Record 1'!E" &amp; ROW()))</f>
        <v/>
      </c>
      <c r="D939" s="8" t="str" cm="1">
        <f t="array" aca="1" ref="D939" ca="1">IF(INDIRECT("'Student_Record 1'!G" &amp; ROW())="", "", INDIRECT("'Student_Record 1'!G" &amp; ROW()))</f>
        <v/>
      </c>
      <c r="E939" s="8" t="str" cm="1">
        <f t="array" aca="1" ref="E939" ca="1">IF(INDIRECT("'Student_Record 1'!I" &amp; ROW())="", "", INDIRECT("'Student_Record 1'!I" &amp; ROW()))</f>
        <v/>
      </c>
      <c r="F939" s="8" t="str" cm="1">
        <f t="array" aca="1" ref="F939" ca="1">IF(INDIRECT("'Student_Record 1'!O" &amp; ROW())="", "", INDIRECT("'Student_Record 1'!O" &amp; ROW()))</f>
        <v/>
      </c>
      <c r="G939" s="11"/>
      <c r="I939" s="11"/>
      <c r="J939" s="11"/>
      <c r="K939" s="11"/>
      <c r="L939" s="11"/>
      <c r="M939" s="11"/>
      <c r="N939" s="11"/>
      <c r="O939" s="11"/>
      <c r="P939" s="11"/>
      <c r="Q939" s="11"/>
    </row>
    <row r="940" spans="1:17" x14ac:dyDescent="0.25">
      <c r="A940" s="8" t="str" cm="1">
        <f t="array" aca="1" ref="A940" ca="1">IF(INDIRECT("'Student_Record 1'!A" &amp; ROW())="", "", INDIRECT("'Student_Record 1'!A" &amp; ROW()))</f>
        <v/>
      </c>
      <c r="B940" s="8" t="str" cm="1">
        <f t="array" aca="1" ref="B940" ca="1">IF(INDIRECT("'Student_Record 1'!C" &amp; ROW())="", "", INDIRECT("'Student_Record 1'!C" &amp; ROW()))</f>
        <v/>
      </c>
      <c r="C940" s="8" t="str" cm="1">
        <f t="array" aca="1" ref="C940" ca="1">IF(INDIRECT("'Student_Record 1'!E" &amp; ROW())="", "", INDIRECT("'Student_Record 1'!E" &amp; ROW()))</f>
        <v/>
      </c>
      <c r="D940" s="8" t="str" cm="1">
        <f t="array" aca="1" ref="D940" ca="1">IF(INDIRECT("'Student_Record 1'!G" &amp; ROW())="", "", INDIRECT("'Student_Record 1'!G" &amp; ROW()))</f>
        <v/>
      </c>
      <c r="E940" s="8" t="str" cm="1">
        <f t="array" aca="1" ref="E940" ca="1">IF(INDIRECT("'Student_Record 1'!I" &amp; ROW())="", "", INDIRECT("'Student_Record 1'!I" &amp; ROW()))</f>
        <v/>
      </c>
      <c r="F940" s="8" t="str" cm="1">
        <f t="array" aca="1" ref="F940" ca="1">IF(INDIRECT("'Student_Record 1'!O" &amp; ROW())="", "", INDIRECT("'Student_Record 1'!O" &amp; ROW()))</f>
        <v/>
      </c>
      <c r="G940" s="11"/>
      <c r="I940" s="11"/>
      <c r="J940" s="11"/>
      <c r="K940" s="11"/>
      <c r="L940" s="11"/>
      <c r="M940" s="11"/>
      <c r="N940" s="11"/>
      <c r="O940" s="11"/>
      <c r="P940" s="11"/>
      <c r="Q940" s="11"/>
    </row>
    <row r="941" spans="1:17" x14ac:dyDescent="0.25">
      <c r="A941" s="8" t="str" cm="1">
        <f t="array" aca="1" ref="A941" ca="1">IF(INDIRECT("'Student_Record 1'!A" &amp; ROW())="", "", INDIRECT("'Student_Record 1'!A" &amp; ROW()))</f>
        <v/>
      </c>
      <c r="B941" s="8" t="str" cm="1">
        <f t="array" aca="1" ref="B941" ca="1">IF(INDIRECT("'Student_Record 1'!C" &amp; ROW())="", "", INDIRECT("'Student_Record 1'!C" &amp; ROW()))</f>
        <v/>
      </c>
      <c r="C941" s="8" t="str" cm="1">
        <f t="array" aca="1" ref="C941" ca="1">IF(INDIRECT("'Student_Record 1'!E" &amp; ROW())="", "", INDIRECT("'Student_Record 1'!E" &amp; ROW()))</f>
        <v/>
      </c>
      <c r="D941" s="8" t="str" cm="1">
        <f t="array" aca="1" ref="D941" ca="1">IF(INDIRECT("'Student_Record 1'!G" &amp; ROW())="", "", INDIRECT("'Student_Record 1'!G" &amp; ROW()))</f>
        <v/>
      </c>
      <c r="E941" s="8" t="str" cm="1">
        <f t="array" aca="1" ref="E941" ca="1">IF(INDIRECT("'Student_Record 1'!I" &amp; ROW())="", "", INDIRECT("'Student_Record 1'!I" &amp; ROW()))</f>
        <v/>
      </c>
      <c r="F941" s="8" t="str" cm="1">
        <f t="array" aca="1" ref="F941" ca="1">IF(INDIRECT("'Student_Record 1'!O" &amp; ROW())="", "", INDIRECT("'Student_Record 1'!O" &amp; ROW()))</f>
        <v/>
      </c>
      <c r="G941" s="11"/>
      <c r="I941" s="11"/>
      <c r="J941" s="11"/>
      <c r="K941" s="11"/>
      <c r="L941" s="11"/>
      <c r="M941" s="11"/>
      <c r="N941" s="11"/>
      <c r="O941" s="11"/>
      <c r="P941" s="11"/>
      <c r="Q941" s="11"/>
    </row>
    <row r="942" spans="1:17" x14ac:dyDescent="0.25">
      <c r="A942" s="8" t="str" cm="1">
        <f t="array" aca="1" ref="A942" ca="1">IF(INDIRECT("'Student_Record 1'!A" &amp; ROW())="", "", INDIRECT("'Student_Record 1'!A" &amp; ROW()))</f>
        <v/>
      </c>
      <c r="B942" s="8" t="str" cm="1">
        <f t="array" aca="1" ref="B942" ca="1">IF(INDIRECT("'Student_Record 1'!C" &amp; ROW())="", "", INDIRECT("'Student_Record 1'!C" &amp; ROW()))</f>
        <v/>
      </c>
      <c r="C942" s="8" t="str" cm="1">
        <f t="array" aca="1" ref="C942" ca="1">IF(INDIRECT("'Student_Record 1'!E" &amp; ROW())="", "", INDIRECT("'Student_Record 1'!E" &amp; ROW()))</f>
        <v/>
      </c>
      <c r="D942" s="8" t="str" cm="1">
        <f t="array" aca="1" ref="D942" ca="1">IF(INDIRECT("'Student_Record 1'!G" &amp; ROW())="", "", INDIRECT("'Student_Record 1'!G" &amp; ROW()))</f>
        <v/>
      </c>
      <c r="E942" s="8" t="str" cm="1">
        <f t="array" aca="1" ref="E942" ca="1">IF(INDIRECT("'Student_Record 1'!I" &amp; ROW())="", "", INDIRECT("'Student_Record 1'!I" &amp; ROW()))</f>
        <v/>
      </c>
      <c r="F942" s="8" t="str" cm="1">
        <f t="array" aca="1" ref="F942" ca="1">IF(INDIRECT("'Student_Record 1'!O" &amp; ROW())="", "", INDIRECT("'Student_Record 1'!O" &amp; ROW()))</f>
        <v/>
      </c>
      <c r="G942" s="11"/>
      <c r="I942" s="11"/>
      <c r="J942" s="11"/>
      <c r="K942" s="11"/>
      <c r="L942" s="11"/>
      <c r="M942" s="11"/>
      <c r="N942" s="11"/>
      <c r="O942" s="11"/>
      <c r="P942" s="11"/>
      <c r="Q942" s="11"/>
    </row>
    <row r="943" spans="1:17" x14ac:dyDescent="0.25">
      <c r="A943" s="8" t="str" cm="1">
        <f t="array" aca="1" ref="A943" ca="1">IF(INDIRECT("'Student_Record 1'!A" &amp; ROW())="", "", INDIRECT("'Student_Record 1'!A" &amp; ROW()))</f>
        <v/>
      </c>
      <c r="B943" s="8" t="str" cm="1">
        <f t="array" aca="1" ref="B943" ca="1">IF(INDIRECT("'Student_Record 1'!C" &amp; ROW())="", "", INDIRECT("'Student_Record 1'!C" &amp; ROW()))</f>
        <v/>
      </c>
      <c r="C943" s="8" t="str" cm="1">
        <f t="array" aca="1" ref="C943" ca="1">IF(INDIRECT("'Student_Record 1'!E" &amp; ROW())="", "", INDIRECT("'Student_Record 1'!E" &amp; ROW()))</f>
        <v/>
      </c>
      <c r="D943" s="8" t="str" cm="1">
        <f t="array" aca="1" ref="D943" ca="1">IF(INDIRECT("'Student_Record 1'!G" &amp; ROW())="", "", INDIRECT("'Student_Record 1'!G" &amp; ROW()))</f>
        <v/>
      </c>
      <c r="E943" s="8" t="str" cm="1">
        <f t="array" aca="1" ref="E943" ca="1">IF(INDIRECT("'Student_Record 1'!I" &amp; ROW())="", "", INDIRECT("'Student_Record 1'!I" &amp; ROW()))</f>
        <v/>
      </c>
      <c r="F943" s="8" t="str" cm="1">
        <f t="array" aca="1" ref="F943" ca="1">IF(INDIRECT("'Student_Record 1'!O" &amp; ROW())="", "", INDIRECT("'Student_Record 1'!O" &amp; ROW()))</f>
        <v/>
      </c>
      <c r="G943" s="11"/>
      <c r="I943" s="11"/>
      <c r="J943" s="11"/>
      <c r="K943" s="11"/>
      <c r="L943" s="11"/>
      <c r="M943" s="11"/>
      <c r="N943" s="11"/>
      <c r="O943" s="11"/>
      <c r="P943" s="11"/>
      <c r="Q943" s="11"/>
    </row>
    <row r="944" spans="1:17" x14ac:dyDescent="0.25">
      <c r="A944" s="8" t="str" cm="1">
        <f t="array" aca="1" ref="A944" ca="1">IF(INDIRECT("'Student_Record 1'!A" &amp; ROW())="", "", INDIRECT("'Student_Record 1'!A" &amp; ROW()))</f>
        <v/>
      </c>
      <c r="B944" s="8" t="str" cm="1">
        <f t="array" aca="1" ref="B944" ca="1">IF(INDIRECT("'Student_Record 1'!C" &amp; ROW())="", "", INDIRECT("'Student_Record 1'!C" &amp; ROW()))</f>
        <v/>
      </c>
      <c r="C944" s="8" t="str" cm="1">
        <f t="array" aca="1" ref="C944" ca="1">IF(INDIRECT("'Student_Record 1'!E" &amp; ROW())="", "", INDIRECT("'Student_Record 1'!E" &amp; ROW()))</f>
        <v/>
      </c>
      <c r="D944" s="8" t="str" cm="1">
        <f t="array" aca="1" ref="D944" ca="1">IF(INDIRECT("'Student_Record 1'!G" &amp; ROW())="", "", INDIRECT("'Student_Record 1'!G" &amp; ROW()))</f>
        <v/>
      </c>
      <c r="E944" s="8" t="str" cm="1">
        <f t="array" aca="1" ref="E944" ca="1">IF(INDIRECT("'Student_Record 1'!I" &amp; ROW())="", "", INDIRECT("'Student_Record 1'!I" &amp; ROW()))</f>
        <v/>
      </c>
      <c r="F944" s="8" t="str" cm="1">
        <f t="array" aca="1" ref="F944" ca="1">IF(INDIRECT("'Student_Record 1'!O" &amp; ROW())="", "", INDIRECT("'Student_Record 1'!O" &amp; ROW()))</f>
        <v/>
      </c>
      <c r="G944" s="11"/>
      <c r="I944" s="11"/>
      <c r="J944" s="11"/>
      <c r="K944" s="11"/>
      <c r="L944" s="11"/>
      <c r="M944" s="11"/>
      <c r="N944" s="11"/>
      <c r="O944" s="11"/>
      <c r="P944" s="11"/>
      <c r="Q944" s="11"/>
    </row>
    <row r="945" spans="1:17" x14ac:dyDescent="0.25">
      <c r="A945" s="8" t="str" cm="1">
        <f t="array" aca="1" ref="A945" ca="1">IF(INDIRECT("'Student_Record 1'!A" &amp; ROW())="", "", INDIRECT("'Student_Record 1'!A" &amp; ROW()))</f>
        <v/>
      </c>
      <c r="B945" s="8" t="str" cm="1">
        <f t="array" aca="1" ref="B945" ca="1">IF(INDIRECT("'Student_Record 1'!C" &amp; ROW())="", "", INDIRECT("'Student_Record 1'!C" &amp; ROW()))</f>
        <v/>
      </c>
      <c r="C945" s="8" t="str" cm="1">
        <f t="array" aca="1" ref="C945" ca="1">IF(INDIRECT("'Student_Record 1'!E" &amp; ROW())="", "", INDIRECT("'Student_Record 1'!E" &amp; ROW()))</f>
        <v/>
      </c>
      <c r="D945" s="8" t="str" cm="1">
        <f t="array" aca="1" ref="D945" ca="1">IF(INDIRECT("'Student_Record 1'!G" &amp; ROW())="", "", INDIRECT("'Student_Record 1'!G" &amp; ROW()))</f>
        <v/>
      </c>
      <c r="E945" s="8" t="str" cm="1">
        <f t="array" aca="1" ref="E945" ca="1">IF(INDIRECT("'Student_Record 1'!I" &amp; ROW())="", "", INDIRECT("'Student_Record 1'!I" &amp; ROW()))</f>
        <v/>
      </c>
      <c r="F945" s="8" t="str" cm="1">
        <f t="array" aca="1" ref="F945" ca="1">IF(INDIRECT("'Student_Record 1'!O" &amp; ROW())="", "", INDIRECT("'Student_Record 1'!O" &amp; ROW()))</f>
        <v/>
      </c>
      <c r="G945" s="11"/>
      <c r="I945" s="11"/>
      <c r="J945" s="11"/>
      <c r="K945" s="11"/>
      <c r="L945" s="11"/>
      <c r="M945" s="11"/>
      <c r="N945" s="11"/>
      <c r="O945" s="11"/>
      <c r="P945" s="11"/>
      <c r="Q945" s="11"/>
    </row>
    <row r="946" spans="1:17" x14ac:dyDescent="0.25">
      <c r="A946" s="8" t="str" cm="1">
        <f t="array" aca="1" ref="A946" ca="1">IF(INDIRECT("'Student_Record 1'!A" &amp; ROW())="", "", INDIRECT("'Student_Record 1'!A" &amp; ROW()))</f>
        <v/>
      </c>
      <c r="B946" s="8" t="str" cm="1">
        <f t="array" aca="1" ref="B946" ca="1">IF(INDIRECT("'Student_Record 1'!C" &amp; ROW())="", "", INDIRECT("'Student_Record 1'!C" &amp; ROW()))</f>
        <v/>
      </c>
      <c r="C946" s="8" t="str" cm="1">
        <f t="array" aca="1" ref="C946" ca="1">IF(INDIRECT("'Student_Record 1'!E" &amp; ROW())="", "", INDIRECT("'Student_Record 1'!E" &amp; ROW()))</f>
        <v/>
      </c>
      <c r="D946" s="8" t="str" cm="1">
        <f t="array" aca="1" ref="D946" ca="1">IF(INDIRECT("'Student_Record 1'!G" &amp; ROW())="", "", INDIRECT("'Student_Record 1'!G" &amp; ROW()))</f>
        <v/>
      </c>
      <c r="E946" s="8" t="str" cm="1">
        <f t="array" aca="1" ref="E946" ca="1">IF(INDIRECT("'Student_Record 1'!I" &amp; ROW())="", "", INDIRECT("'Student_Record 1'!I" &amp; ROW()))</f>
        <v/>
      </c>
      <c r="F946" s="8" t="str" cm="1">
        <f t="array" aca="1" ref="F946" ca="1">IF(INDIRECT("'Student_Record 1'!O" &amp; ROW())="", "", INDIRECT("'Student_Record 1'!O" &amp; ROW()))</f>
        <v/>
      </c>
      <c r="G946" s="11"/>
      <c r="I946" s="11"/>
      <c r="J946" s="11"/>
      <c r="K946" s="11"/>
      <c r="L946" s="11"/>
      <c r="M946" s="11"/>
      <c r="N946" s="11"/>
      <c r="O946" s="11"/>
      <c r="P946" s="11"/>
      <c r="Q946" s="11"/>
    </row>
    <row r="947" spans="1:17" x14ac:dyDescent="0.25">
      <c r="A947" s="8" t="str" cm="1">
        <f t="array" aca="1" ref="A947" ca="1">IF(INDIRECT("'Student_Record 1'!A" &amp; ROW())="", "", INDIRECT("'Student_Record 1'!A" &amp; ROW()))</f>
        <v/>
      </c>
      <c r="B947" s="8" t="str" cm="1">
        <f t="array" aca="1" ref="B947" ca="1">IF(INDIRECT("'Student_Record 1'!C" &amp; ROW())="", "", INDIRECT("'Student_Record 1'!C" &amp; ROW()))</f>
        <v/>
      </c>
      <c r="C947" s="8" t="str" cm="1">
        <f t="array" aca="1" ref="C947" ca="1">IF(INDIRECT("'Student_Record 1'!E" &amp; ROW())="", "", INDIRECT("'Student_Record 1'!E" &amp; ROW()))</f>
        <v/>
      </c>
      <c r="D947" s="8" t="str" cm="1">
        <f t="array" aca="1" ref="D947" ca="1">IF(INDIRECT("'Student_Record 1'!G" &amp; ROW())="", "", INDIRECT("'Student_Record 1'!G" &amp; ROW()))</f>
        <v/>
      </c>
      <c r="E947" s="8" t="str" cm="1">
        <f t="array" aca="1" ref="E947" ca="1">IF(INDIRECT("'Student_Record 1'!I" &amp; ROW())="", "", INDIRECT("'Student_Record 1'!I" &amp; ROW()))</f>
        <v/>
      </c>
      <c r="F947" s="8" t="str" cm="1">
        <f t="array" aca="1" ref="F947" ca="1">IF(INDIRECT("'Student_Record 1'!O" &amp; ROW())="", "", INDIRECT("'Student_Record 1'!O" &amp; ROW()))</f>
        <v/>
      </c>
      <c r="G947" s="11"/>
      <c r="I947" s="11"/>
      <c r="J947" s="11"/>
      <c r="K947" s="11"/>
      <c r="L947" s="11"/>
      <c r="M947" s="11"/>
      <c r="N947" s="11"/>
      <c r="O947" s="11"/>
      <c r="P947" s="11"/>
      <c r="Q947" s="11"/>
    </row>
    <row r="948" spans="1:17" x14ac:dyDescent="0.25">
      <c r="A948" s="8" t="str" cm="1">
        <f t="array" aca="1" ref="A948" ca="1">IF(INDIRECT("'Student_Record 1'!A" &amp; ROW())="", "", INDIRECT("'Student_Record 1'!A" &amp; ROW()))</f>
        <v/>
      </c>
      <c r="B948" s="8" t="str" cm="1">
        <f t="array" aca="1" ref="B948" ca="1">IF(INDIRECT("'Student_Record 1'!C" &amp; ROW())="", "", INDIRECT("'Student_Record 1'!C" &amp; ROW()))</f>
        <v/>
      </c>
      <c r="C948" s="8" t="str" cm="1">
        <f t="array" aca="1" ref="C948" ca="1">IF(INDIRECT("'Student_Record 1'!E" &amp; ROW())="", "", INDIRECT("'Student_Record 1'!E" &amp; ROW()))</f>
        <v/>
      </c>
      <c r="D948" s="8" t="str" cm="1">
        <f t="array" aca="1" ref="D948" ca="1">IF(INDIRECT("'Student_Record 1'!G" &amp; ROW())="", "", INDIRECT("'Student_Record 1'!G" &amp; ROW()))</f>
        <v/>
      </c>
      <c r="E948" s="8" t="str" cm="1">
        <f t="array" aca="1" ref="E948" ca="1">IF(INDIRECT("'Student_Record 1'!I" &amp; ROW())="", "", INDIRECT("'Student_Record 1'!I" &amp; ROW()))</f>
        <v/>
      </c>
      <c r="F948" s="8" t="str" cm="1">
        <f t="array" aca="1" ref="F948" ca="1">IF(INDIRECT("'Student_Record 1'!O" &amp; ROW())="", "", INDIRECT("'Student_Record 1'!O" &amp; ROW()))</f>
        <v/>
      </c>
      <c r="G948" s="11"/>
      <c r="I948" s="11"/>
      <c r="J948" s="11"/>
      <c r="K948" s="11"/>
      <c r="L948" s="11"/>
      <c r="M948" s="11"/>
      <c r="N948" s="11"/>
      <c r="O948" s="11"/>
      <c r="P948" s="11"/>
      <c r="Q948" s="11"/>
    </row>
    <row r="949" spans="1:17" x14ac:dyDescent="0.25">
      <c r="A949" s="8" t="str" cm="1">
        <f t="array" aca="1" ref="A949" ca="1">IF(INDIRECT("'Student_Record 1'!A" &amp; ROW())="", "", INDIRECT("'Student_Record 1'!A" &amp; ROW()))</f>
        <v/>
      </c>
      <c r="B949" s="8" t="str" cm="1">
        <f t="array" aca="1" ref="B949" ca="1">IF(INDIRECT("'Student_Record 1'!C" &amp; ROW())="", "", INDIRECT("'Student_Record 1'!C" &amp; ROW()))</f>
        <v/>
      </c>
      <c r="C949" s="8" t="str" cm="1">
        <f t="array" aca="1" ref="C949" ca="1">IF(INDIRECT("'Student_Record 1'!E" &amp; ROW())="", "", INDIRECT("'Student_Record 1'!E" &amp; ROW()))</f>
        <v/>
      </c>
      <c r="D949" s="8" t="str" cm="1">
        <f t="array" aca="1" ref="D949" ca="1">IF(INDIRECT("'Student_Record 1'!G" &amp; ROW())="", "", INDIRECT("'Student_Record 1'!G" &amp; ROW()))</f>
        <v/>
      </c>
      <c r="E949" s="8" t="str" cm="1">
        <f t="array" aca="1" ref="E949" ca="1">IF(INDIRECT("'Student_Record 1'!I" &amp; ROW())="", "", INDIRECT("'Student_Record 1'!I" &amp; ROW()))</f>
        <v/>
      </c>
      <c r="F949" s="8" t="str" cm="1">
        <f t="array" aca="1" ref="F949" ca="1">IF(INDIRECT("'Student_Record 1'!O" &amp; ROW())="", "", INDIRECT("'Student_Record 1'!O" &amp; ROW()))</f>
        <v/>
      </c>
      <c r="G949" s="11"/>
      <c r="I949" s="11"/>
      <c r="J949" s="11"/>
      <c r="K949" s="11"/>
      <c r="L949" s="11"/>
      <c r="M949" s="11"/>
      <c r="N949" s="11"/>
      <c r="O949" s="11"/>
      <c r="P949" s="11"/>
      <c r="Q949" s="11"/>
    </row>
    <row r="950" spans="1:17" x14ac:dyDescent="0.25">
      <c r="A950" s="8" t="str" cm="1">
        <f t="array" aca="1" ref="A950" ca="1">IF(INDIRECT("'Student_Record 1'!A" &amp; ROW())="", "", INDIRECT("'Student_Record 1'!A" &amp; ROW()))</f>
        <v/>
      </c>
      <c r="B950" s="8" t="str" cm="1">
        <f t="array" aca="1" ref="B950" ca="1">IF(INDIRECT("'Student_Record 1'!C" &amp; ROW())="", "", INDIRECT("'Student_Record 1'!C" &amp; ROW()))</f>
        <v/>
      </c>
      <c r="C950" s="8" t="str" cm="1">
        <f t="array" aca="1" ref="C950" ca="1">IF(INDIRECT("'Student_Record 1'!E" &amp; ROW())="", "", INDIRECT("'Student_Record 1'!E" &amp; ROW()))</f>
        <v/>
      </c>
      <c r="D950" s="8" t="str" cm="1">
        <f t="array" aca="1" ref="D950" ca="1">IF(INDIRECT("'Student_Record 1'!G" &amp; ROW())="", "", INDIRECT("'Student_Record 1'!G" &amp; ROW()))</f>
        <v/>
      </c>
      <c r="E950" s="8" t="str" cm="1">
        <f t="array" aca="1" ref="E950" ca="1">IF(INDIRECT("'Student_Record 1'!I" &amp; ROW())="", "", INDIRECT("'Student_Record 1'!I" &amp; ROW()))</f>
        <v/>
      </c>
      <c r="F950" s="8" t="str" cm="1">
        <f t="array" aca="1" ref="F950" ca="1">IF(INDIRECT("'Student_Record 1'!O" &amp; ROW())="", "", INDIRECT("'Student_Record 1'!O" &amp; ROW()))</f>
        <v/>
      </c>
      <c r="G950" s="11"/>
      <c r="I950" s="11"/>
      <c r="J950" s="11"/>
      <c r="K950" s="11"/>
      <c r="L950" s="11"/>
      <c r="M950" s="11"/>
      <c r="N950" s="11"/>
      <c r="O950" s="11"/>
      <c r="P950" s="11"/>
      <c r="Q950" s="11"/>
    </row>
    <row r="951" spans="1:17" x14ac:dyDescent="0.25">
      <c r="A951" s="8" t="str" cm="1">
        <f t="array" aca="1" ref="A951" ca="1">IF(INDIRECT("'Student_Record 1'!A" &amp; ROW())="", "", INDIRECT("'Student_Record 1'!A" &amp; ROW()))</f>
        <v/>
      </c>
      <c r="B951" s="8" t="str" cm="1">
        <f t="array" aca="1" ref="B951" ca="1">IF(INDIRECT("'Student_Record 1'!C" &amp; ROW())="", "", INDIRECT("'Student_Record 1'!C" &amp; ROW()))</f>
        <v/>
      </c>
      <c r="C951" s="8" t="str" cm="1">
        <f t="array" aca="1" ref="C951" ca="1">IF(INDIRECT("'Student_Record 1'!E" &amp; ROW())="", "", INDIRECT("'Student_Record 1'!E" &amp; ROW()))</f>
        <v/>
      </c>
      <c r="D951" s="8" t="str" cm="1">
        <f t="array" aca="1" ref="D951" ca="1">IF(INDIRECT("'Student_Record 1'!G" &amp; ROW())="", "", INDIRECT("'Student_Record 1'!G" &amp; ROW()))</f>
        <v/>
      </c>
      <c r="E951" s="8" t="str" cm="1">
        <f t="array" aca="1" ref="E951" ca="1">IF(INDIRECT("'Student_Record 1'!I" &amp; ROW())="", "", INDIRECT("'Student_Record 1'!I" &amp; ROW()))</f>
        <v/>
      </c>
      <c r="F951" s="8" t="str" cm="1">
        <f t="array" aca="1" ref="F951" ca="1">IF(INDIRECT("'Student_Record 1'!O" &amp; ROW())="", "", INDIRECT("'Student_Record 1'!O" &amp; ROW()))</f>
        <v/>
      </c>
      <c r="G951" s="11"/>
      <c r="I951" s="11"/>
      <c r="J951" s="11"/>
      <c r="K951" s="11"/>
      <c r="L951" s="11"/>
      <c r="M951" s="11"/>
      <c r="N951" s="11"/>
      <c r="O951" s="11"/>
      <c r="P951" s="11"/>
      <c r="Q951" s="11"/>
    </row>
    <row r="952" spans="1:17" x14ac:dyDescent="0.25">
      <c r="A952" s="8" t="str" cm="1">
        <f t="array" aca="1" ref="A952" ca="1">IF(INDIRECT("'Student_Record 1'!A" &amp; ROW())="", "", INDIRECT("'Student_Record 1'!A" &amp; ROW()))</f>
        <v/>
      </c>
      <c r="B952" s="8" t="str" cm="1">
        <f t="array" aca="1" ref="B952" ca="1">IF(INDIRECT("'Student_Record 1'!C" &amp; ROW())="", "", INDIRECT("'Student_Record 1'!C" &amp; ROW()))</f>
        <v/>
      </c>
      <c r="C952" s="8" t="str" cm="1">
        <f t="array" aca="1" ref="C952" ca="1">IF(INDIRECT("'Student_Record 1'!E" &amp; ROW())="", "", INDIRECT("'Student_Record 1'!E" &amp; ROW()))</f>
        <v/>
      </c>
      <c r="D952" s="8" t="str" cm="1">
        <f t="array" aca="1" ref="D952" ca="1">IF(INDIRECT("'Student_Record 1'!G" &amp; ROW())="", "", INDIRECT("'Student_Record 1'!G" &amp; ROW()))</f>
        <v/>
      </c>
      <c r="E952" s="8" t="str" cm="1">
        <f t="array" aca="1" ref="E952" ca="1">IF(INDIRECT("'Student_Record 1'!I" &amp; ROW())="", "", INDIRECT("'Student_Record 1'!I" &amp; ROW()))</f>
        <v/>
      </c>
      <c r="F952" s="8" t="str" cm="1">
        <f t="array" aca="1" ref="F952" ca="1">IF(INDIRECT("'Student_Record 1'!O" &amp; ROW())="", "", INDIRECT("'Student_Record 1'!O" &amp; ROW()))</f>
        <v/>
      </c>
      <c r="G952" s="11"/>
      <c r="I952" s="11"/>
      <c r="J952" s="11"/>
      <c r="K952" s="11"/>
      <c r="L952" s="11"/>
      <c r="M952" s="11"/>
      <c r="N952" s="11"/>
      <c r="O952" s="11"/>
      <c r="P952" s="11"/>
      <c r="Q952" s="11"/>
    </row>
    <row r="953" spans="1:17" x14ac:dyDescent="0.25">
      <c r="A953" s="8" t="str" cm="1">
        <f t="array" aca="1" ref="A953" ca="1">IF(INDIRECT("'Student_Record 1'!A" &amp; ROW())="", "", INDIRECT("'Student_Record 1'!A" &amp; ROW()))</f>
        <v/>
      </c>
      <c r="B953" s="8" t="str" cm="1">
        <f t="array" aca="1" ref="B953" ca="1">IF(INDIRECT("'Student_Record 1'!C" &amp; ROW())="", "", INDIRECT("'Student_Record 1'!C" &amp; ROW()))</f>
        <v/>
      </c>
      <c r="C953" s="8" t="str" cm="1">
        <f t="array" aca="1" ref="C953" ca="1">IF(INDIRECT("'Student_Record 1'!E" &amp; ROW())="", "", INDIRECT("'Student_Record 1'!E" &amp; ROW()))</f>
        <v/>
      </c>
      <c r="D953" s="8" t="str" cm="1">
        <f t="array" aca="1" ref="D953" ca="1">IF(INDIRECT("'Student_Record 1'!G" &amp; ROW())="", "", INDIRECT("'Student_Record 1'!G" &amp; ROW()))</f>
        <v/>
      </c>
      <c r="E953" s="8" t="str" cm="1">
        <f t="array" aca="1" ref="E953" ca="1">IF(INDIRECT("'Student_Record 1'!I" &amp; ROW())="", "", INDIRECT("'Student_Record 1'!I" &amp; ROW()))</f>
        <v/>
      </c>
      <c r="F953" s="8" t="str" cm="1">
        <f t="array" aca="1" ref="F953" ca="1">IF(INDIRECT("'Student_Record 1'!O" &amp; ROW())="", "", INDIRECT("'Student_Record 1'!O" &amp; ROW()))</f>
        <v/>
      </c>
      <c r="G953" s="11"/>
      <c r="I953" s="11"/>
      <c r="J953" s="11"/>
      <c r="K953" s="11"/>
      <c r="L953" s="11"/>
      <c r="M953" s="11"/>
      <c r="N953" s="11"/>
      <c r="O953" s="11"/>
      <c r="P953" s="11"/>
      <c r="Q953" s="11"/>
    </row>
    <row r="954" spans="1:17" x14ac:dyDescent="0.25">
      <c r="A954" s="8" t="str" cm="1">
        <f t="array" aca="1" ref="A954" ca="1">IF(INDIRECT("'Student_Record 1'!A" &amp; ROW())="", "", INDIRECT("'Student_Record 1'!A" &amp; ROW()))</f>
        <v/>
      </c>
      <c r="B954" s="8" t="str" cm="1">
        <f t="array" aca="1" ref="B954" ca="1">IF(INDIRECT("'Student_Record 1'!C" &amp; ROW())="", "", INDIRECT("'Student_Record 1'!C" &amp; ROW()))</f>
        <v/>
      </c>
      <c r="C954" s="8" t="str" cm="1">
        <f t="array" aca="1" ref="C954" ca="1">IF(INDIRECT("'Student_Record 1'!E" &amp; ROW())="", "", INDIRECT("'Student_Record 1'!E" &amp; ROW()))</f>
        <v/>
      </c>
      <c r="D954" s="8" t="str" cm="1">
        <f t="array" aca="1" ref="D954" ca="1">IF(INDIRECT("'Student_Record 1'!G" &amp; ROW())="", "", INDIRECT("'Student_Record 1'!G" &amp; ROW()))</f>
        <v/>
      </c>
      <c r="E954" s="8" t="str" cm="1">
        <f t="array" aca="1" ref="E954" ca="1">IF(INDIRECT("'Student_Record 1'!I" &amp; ROW())="", "", INDIRECT("'Student_Record 1'!I" &amp; ROW()))</f>
        <v/>
      </c>
      <c r="F954" s="8" t="str" cm="1">
        <f t="array" aca="1" ref="F954" ca="1">IF(INDIRECT("'Student_Record 1'!O" &amp; ROW())="", "", INDIRECT("'Student_Record 1'!O" &amp; ROW()))</f>
        <v/>
      </c>
      <c r="G954" s="11"/>
      <c r="I954" s="11"/>
      <c r="J954" s="11"/>
      <c r="K954" s="11"/>
      <c r="L954" s="11"/>
      <c r="M954" s="11"/>
      <c r="N954" s="11"/>
      <c r="O954" s="11"/>
      <c r="P954" s="11"/>
      <c r="Q954" s="11"/>
    </row>
    <row r="955" spans="1:17" x14ac:dyDescent="0.25">
      <c r="A955" s="8" t="str" cm="1">
        <f t="array" aca="1" ref="A955" ca="1">IF(INDIRECT("'Student_Record 1'!A" &amp; ROW())="", "", INDIRECT("'Student_Record 1'!A" &amp; ROW()))</f>
        <v/>
      </c>
      <c r="B955" s="8" t="str" cm="1">
        <f t="array" aca="1" ref="B955" ca="1">IF(INDIRECT("'Student_Record 1'!C" &amp; ROW())="", "", INDIRECT("'Student_Record 1'!C" &amp; ROW()))</f>
        <v/>
      </c>
      <c r="C955" s="8" t="str" cm="1">
        <f t="array" aca="1" ref="C955" ca="1">IF(INDIRECT("'Student_Record 1'!E" &amp; ROW())="", "", INDIRECT("'Student_Record 1'!E" &amp; ROW()))</f>
        <v/>
      </c>
      <c r="D955" s="8" t="str" cm="1">
        <f t="array" aca="1" ref="D955" ca="1">IF(INDIRECT("'Student_Record 1'!G" &amp; ROW())="", "", INDIRECT("'Student_Record 1'!G" &amp; ROW()))</f>
        <v/>
      </c>
      <c r="E955" s="8" t="str" cm="1">
        <f t="array" aca="1" ref="E955" ca="1">IF(INDIRECT("'Student_Record 1'!I" &amp; ROW())="", "", INDIRECT("'Student_Record 1'!I" &amp; ROW()))</f>
        <v/>
      </c>
      <c r="F955" s="8" t="str" cm="1">
        <f t="array" aca="1" ref="F955" ca="1">IF(INDIRECT("'Student_Record 1'!O" &amp; ROW())="", "", INDIRECT("'Student_Record 1'!O" &amp; ROW()))</f>
        <v/>
      </c>
      <c r="G955" s="11"/>
      <c r="I955" s="11"/>
      <c r="J955" s="11"/>
      <c r="K955" s="11"/>
      <c r="L955" s="11"/>
      <c r="M955" s="11"/>
      <c r="N955" s="11"/>
      <c r="O955" s="11"/>
      <c r="P955" s="11"/>
      <c r="Q955" s="11"/>
    </row>
    <row r="956" spans="1:17" x14ac:dyDescent="0.25">
      <c r="A956" s="8" t="str" cm="1">
        <f t="array" aca="1" ref="A956" ca="1">IF(INDIRECT("'Student_Record 1'!A" &amp; ROW())="", "", INDIRECT("'Student_Record 1'!A" &amp; ROW()))</f>
        <v/>
      </c>
      <c r="B956" s="8" t="str" cm="1">
        <f t="array" aca="1" ref="B956" ca="1">IF(INDIRECT("'Student_Record 1'!C" &amp; ROW())="", "", INDIRECT("'Student_Record 1'!C" &amp; ROW()))</f>
        <v/>
      </c>
      <c r="C956" s="8" t="str" cm="1">
        <f t="array" aca="1" ref="C956" ca="1">IF(INDIRECT("'Student_Record 1'!E" &amp; ROW())="", "", INDIRECT("'Student_Record 1'!E" &amp; ROW()))</f>
        <v/>
      </c>
      <c r="D956" s="8" t="str" cm="1">
        <f t="array" aca="1" ref="D956" ca="1">IF(INDIRECT("'Student_Record 1'!G" &amp; ROW())="", "", INDIRECT("'Student_Record 1'!G" &amp; ROW()))</f>
        <v/>
      </c>
      <c r="E956" s="8" t="str" cm="1">
        <f t="array" aca="1" ref="E956" ca="1">IF(INDIRECT("'Student_Record 1'!I" &amp; ROW())="", "", INDIRECT("'Student_Record 1'!I" &amp; ROW()))</f>
        <v/>
      </c>
      <c r="F956" s="8" t="str" cm="1">
        <f t="array" aca="1" ref="F956" ca="1">IF(INDIRECT("'Student_Record 1'!O" &amp; ROW())="", "", INDIRECT("'Student_Record 1'!O" &amp; ROW()))</f>
        <v/>
      </c>
      <c r="G956" s="11"/>
      <c r="I956" s="11"/>
      <c r="J956" s="11"/>
      <c r="K956" s="11"/>
      <c r="L956" s="11"/>
      <c r="M956" s="11"/>
      <c r="N956" s="11"/>
      <c r="O956" s="11"/>
      <c r="P956" s="11"/>
      <c r="Q956" s="11"/>
    </row>
    <row r="957" spans="1:17" x14ac:dyDescent="0.25">
      <c r="A957" s="8" t="str" cm="1">
        <f t="array" aca="1" ref="A957" ca="1">IF(INDIRECT("'Student_Record 1'!A" &amp; ROW())="", "", INDIRECT("'Student_Record 1'!A" &amp; ROW()))</f>
        <v/>
      </c>
      <c r="B957" s="8" t="str" cm="1">
        <f t="array" aca="1" ref="B957" ca="1">IF(INDIRECT("'Student_Record 1'!C" &amp; ROW())="", "", INDIRECT("'Student_Record 1'!C" &amp; ROW()))</f>
        <v/>
      </c>
      <c r="C957" s="8" t="str" cm="1">
        <f t="array" aca="1" ref="C957" ca="1">IF(INDIRECT("'Student_Record 1'!E" &amp; ROW())="", "", INDIRECT("'Student_Record 1'!E" &amp; ROW()))</f>
        <v/>
      </c>
      <c r="D957" s="8" t="str" cm="1">
        <f t="array" aca="1" ref="D957" ca="1">IF(INDIRECT("'Student_Record 1'!G" &amp; ROW())="", "", INDIRECT("'Student_Record 1'!G" &amp; ROW()))</f>
        <v/>
      </c>
      <c r="E957" s="8" t="str" cm="1">
        <f t="array" aca="1" ref="E957" ca="1">IF(INDIRECT("'Student_Record 1'!I" &amp; ROW())="", "", INDIRECT("'Student_Record 1'!I" &amp; ROW()))</f>
        <v/>
      </c>
      <c r="F957" s="8" t="str" cm="1">
        <f t="array" aca="1" ref="F957" ca="1">IF(INDIRECT("'Student_Record 1'!O" &amp; ROW())="", "", INDIRECT("'Student_Record 1'!O" &amp; ROW()))</f>
        <v/>
      </c>
      <c r="G957" s="11"/>
      <c r="I957" s="11"/>
      <c r="J957" s="11"/>
      <c r="K957" s="11"/>
      <c r="L957" s="11"/>
      <c r="M957" s="11"/>
      <c r="N957" s="11"/>
      <c r="O957" s="11"/>
      <c r="P957" s="11"/>
      <c r="Q957" s="11"/>
    </row>
    <row r="958" spans="1:17" x14ac:dyDescent="0.25">
      <c r="A958" s="8" t="str" cm="1">
        <f t="array" aca="1" ref="A958" ca="1">IF(INDIRECT("'Student_Record 1'!A" &amp; ROW())="", "", INDIRECT("'Student_Record 1'!A" &amp; ROW()))</f>
        <v/>
      </c>
      <c r="B958" s="8" t="str" cm="1">
        <f t="array" aca="1" ref="B958" ca="1">IF(INDIRECT("'Student_Record 1'!C" &amp; ROW())="", "", INDIRECT("'Student_Record 1'!C" &amp; ROW()))</f>
        <v/>
      </c>
      <c r="C958" s="8" t="str" cm="1">
        <f t="array" aca="1" ref="C958" ca="1">IF(INDIRECT("'Student_Record 1'!E" &amp; ROW())="", "", INDIRECT("'Student_Record 1'!E" &amp; ROW()))</f>
        <v/>
      </c>
      <c r="D958" s="8" t="str" cm="1">
        <f t="array" aca="1" ref="D958" ca="1">IF(INDIRECT("'Student_Record 1'!G" &amp; ROW())="", "", INDIRECT("'Student_Record 1'!G" &amp; ROW()))</f>
        <v/>
      </c>
      <c r="E958" s="8" t="str" cm="1">
        <f t="array" aca="1" ref="E958" ca="1">IF(INDIRECT("'Student_Record 1'!I" &amp; ROW())="", "", INDIRECT("'Student_Record 1'!I" &amp; ROW()))</f>
        <v/>
      </c>
      <c r="F958" s="8" t="str" cm="1">
        <f t="array" aca="1" ref="F958" ca="1">IF(INDIRECT("'Student_Record 1'!O" &amp; ROW())="", "", INDIRECT("'Student_Record 1'!O" &amp; ROW()))</f>
        <v/>
      </c>
      <c r="G958" s="11"/>
      <c r="I958" s="11"/>
      <c r="J958" s="11"/>
      <c r="K958" s="11"/>
      <c r="L958" s="11"/>
      <c r="M958" s="11"/>
      <c r="N958" s="11"/>
      <c r="O958" s="11"/>
      <c r="P958" s="11"/>
      <c r="Q958" s="11"/>
    </row>
    <row r="959" spans="1:17" x14ac:dyDescent="0.25">
      <c r="A959" s="8" t="str" cm="1">
        <f t="array" aca="1" ref="A959" ca="1">IF(INDIRECT("'Student_Record 1'!A" &amp; ROW())="", "", INDIRECT("'Student_Record 1'!A" &amp; ROW()))</f>
        <v/>
      </c>
      <c r="B959" s="8" t="str" cm="1">
        <f t="array" aca="1" ref="B959" ca="1">IF(INDIRECT("'Student_Record 1'!C" &amp; ROW())="", "", INDIRECT("'Student_Record 1'!C" &amp; ROW()))</f>
        <v/>
      </c>
      <c r="C959" s="8" t="str" cm="1">
        <f t="array" aca="1" ref="C959" ca="1">IF(INDIRECT("'Student_Record 1'!E" &amp; ROW())="", "", INDIRECT("'Student_Record 1'!E" &amp; ROW()))</f>
        <v/>
      </c>
      <c r="D959" s="8" t="str" cm="1">
        <f t="array" aca="1" ref="D959" ca="1">IF(INDIRECT("'Student_Record 1'!G" &amp; ROW())="", "", INDIRECT("'Student_Record 1'!G" &amp; ROW()))</f>
        <v/>
      </c>
      <c r="E959" s="8" t="str" cm="1">
        <f t="array" aca="1" ref="E959" ca="1">IF(INDIRECT("'Student_Record 1'!I" &amp; ROW())="", "", INDIRECT("'Student_Record 1'!I" &amp; ROW()))</f>
        <v/>
      </c>
      <c r="F959" s="8" t="str" cm="1">
        <f t="array" aca="1" ref="F959" ca="1">IF(INDIRECT("'Student_Record 1'!O" &amp; ROW())="", "", INDIRECT("'Student_Record 1'!O" &amp; ROW()))</f>
        <v/>
      </c>
      <c r="G959" s="11"/>
      <c r="I959" s="11"/>
      <c r="J959" s="11"/>
      <c r="K959" s="11"/>
      <c r="L959" s="11"/>
      <c r="M959" s="11"/>
      <c r="N959" s="11"/>
      <c r="O959" s="11"/>
      <c r="P959" s="11"/>
      <c r="Q959" s="11"/>
    </row>
    <row r="960" spans="1:17" x14ac:dyDescent="0.25">
      <c r="A960" s="8" t="str" cm="1">
        <f t="array" aca="1" ref="A960" ca="1">IF(INDIRECT("'Student_Record 1'!A" &amp; ROW())="", "", INDIRECT("'Student_Record 1'!A" &amp; ROW()))</f>
        <v/>
      </c>
      <c r="B960" s="8" t="str" cm="1">
        <f t="array" aca="1" ref="B960" ca="1">IF(INDIRECT("'Student_Record 1'!C" &amp; ROW())="", "", INDIRECT("'Student_Record 1'!C" &amp; ROW()))</f>
        <v/>
      </c>
      <c r="C960" s="8" t="str" cm="1">
        <f t="array" aca="1" ref="C960" ca="1">IF(INDIRECT("'Student_Record 1'!E" &amp; ROW())="", "", INDIRECT("'Student_Record 1'!E" &amp; ROW()))</f>
        <v/>
      </c>
      <c r="D960" s="8" t="str" cm="1">
        <f t="array" aca="1" ref="D960" ca="1">IF(INDIRECT("'Student_Record 1'!G" &amp; ROW())="", "", INDIRECT("'Student_Record 1'!G" &amp; ROW()))</f>
        <v/>
      </c>
      <c r="E960" s="8" t="str" cm="1">
        <f t="array" aca="1" ref="E960" ca="1">IF(INDIRECT("'Student_Record 1'!I" &amp; ROW())="", "", INDIRECT("'Student_Record 1'!I" &amp; ROW()))</f>
        <v/>
      </c>
      <c r="F960" s="8" t="str" cm="1">
        <f t="array" aca="1" ref="F960" ca="1">IF(INDIRECT("'Student_Record 1'!O" &amp; ROW())="", "", INDIRECT("'Student_Record 1'!O" &amp; ROW()))</f>
        <v/>
      </c>
      <c r="G960" s="11"/>
      <c r="I960" s="11"/>
      <c r="J960" s="11"/>
      <c r="K960" s="11"/>
      <c r="L960" s="11"/>
      <c r="M960" s="11"/>
      <c r="N960" s="11"/>
      <c r="O960" s="11"/>
      <c r="P960" s="11"/>
      <c r="Q960" s="11"/>
    </row>
    <row r="961" spans="1:17" x14ac:dyDescent="0.25">
      <c r="A961" s="8" t="str" cm="1">
        <f t="array" aca="1" ref="A961" ca="1">IF(INDIRECT("'Student_Record 1'!A" &amp; ROW())="", "", INDIRECT("'Student_Record 1'!A" &amp; ROW()))</f>
        <v/>
      </c>
      <c r="B961" s="8" t="str" cm="1">
        <f t="array" aca="1" ref="B961" ca="1">IF(INDIRECT("'Student_Record 1'!C" &amp; ROW())="", "", INDIRECT("'Student_Record 1'!C" &amp; ROW()))</f>
        <v/>
      </c>
      <c r="C961" s="8" t="str" cm="1">
        <f t="array" aca="1" ref="C961" ca="1">IF(INDIRECT("'Student_Record 1'!E" &amp; ROW())="", "", INDIRECT("'Student_Record 1'!E" &amp; ROW()))</f>
        <v/>
      </c>
      <c r="D961" s="8" t="str" cm="1">
        <f t="array" aca="1" ref="D961" ca="1">IF(INDIRECT("'Student_Record 1'!G" &amp; ROW())="", "", INDIRECT("'Student_Record 1'!G" &amp; ROW()))</f>
        <v/>
      </c>
      <c r="E961" s="8" t="str" cm="1">
        <f t="array" aca="1" ref="E961" ca="1">IF(INDIRECT("'Student_Record 1'!I" &amp; ROW())="", "", INDIRECT("'Student_Record 1'!I" &amp; ROW()))</f>
        <v/>
      </c>
      <c r="F961" s="8" t="str" cm="1">
        <f t="array" aca="1" ref="F961" ca="1">IF(INDIRECT("'Student_Record 1'!O" &amp; ROW())="", "", INDIRECT("'Student_Record 1'!O" &amp; ROW()))</f>
        <v/>
      </c>
      <c r="G961" s="11"/>
      <c r="I961" s="11"/>
      <c r="J961" s="11"/>
      <c r="K961" s="11"/>
      <c r="L961" s="11"/>
      <c r="M961" s="11"/>
      <c r="N961" s="11"/>
      <c r="O961" s="11"/>
      <c r="P961" s="11"/>
      <c r="Q961" s="11"/>
    </row>
    <row r="962" spans="1:17" x14ac:dyDescent="0.25">
      <c r="A962" s="8" t="str" cm="1">
        <f t="array" aca="1" ref="A962" ca="1">IF(INDIRECT("'Student_Record 1'!A" &amp; ROW())="", "", INDIRECT("'Student_Record 1'!A" &amp; ROW()))</f>
        <v/>
      </c>
      <c r="B962" s="8" t="str" cm="1">
        <f t="array" aca="1" ref="B962" ca="1">IF(INDIRECT("'Student_Record 1'!C" &amp; ROW())="", "", INDIRECT("'Student_Record 1'!C" &amp; ROW()))</f>
        <v/>
      </c>
      <c r="C962" s="8" t="str" cm="1">
        <f t="array" aca="1" ref="C962" ca="1">IF(INDIRECT("'Student_Record 1'!E" &amp; ROW())="", "", INDIRECT("'Student_Record 1'!E" &amp; ROW()))</f>
        <v/>
      </c>
      <c r="D962" s="8" t="str" cm="1">
        <f t="array" aca="1" ref="D962" ca="1">IF(INDIRECT("'Student_Record 1'!G" &amp; ROW())="", "", INDIRECT("'Student_Record 1'!G" &amp; ROW()))</f>
        <v/>
      </c>
      <c r="E962" s="8" t="str" cm="1">
        <f t="array" aca="1" ref="E962" ca="1">IF(INDIRECT("'Student_Record 1'!I" &amp; ROW())="", "", INDIRECT("'Student_Record 1'!I" &amp; ROW()))</f>
        <v/>
      </c>
      <c r="F962" s="8" t="str" cm="1">
        <f t="array" aca="1" ref="F962" ca="1">IF(INDIRECT("'Student_Record 1'!O" &amp; ROW())="", "", INDIRECT("'Student_Record 1'!O" &amp; ROW()))</f>
        <v/>
      </c>
      <c r="G962" s="11"/>
      <c r="I962" s="11"/>
      <c r="J962" s="11"/>
      <c r="K962" s="11"/>
      <c r="L962" s="11"/>
      <c r="M962" s="11"/>
      <c r="N962" s="11"/>
      <c r="O962" s="11"/>
      <c r="P962" s="11"/>
      <c r="Q962" s="11"/>
    </row>
    <row r="963" spans="1:17" x14ac:dyDescent="0.25">
      <c r="A963" s="8" t="str" cm="1">
        <f t="array" aca="1" ref="A963" ca="1">IF(INDIRECT("'Student_Record 1'!A" &amp; ROW())="", "", INDIRECT("'Student_Record 1'!A" &amp; ROW()))</f>
        <v/>
      </c>
      <c r="B963" s="8" t="str" cm="1">
        <f t="array" aca="1" ref="B963" ca="1">IF(INDIRECT("'Student_Record 1'!C" &amp; ROW())="", "", INDIRECT("'Student_Record 1'!C" &amp; ROW()))</f>
        <v/>
      </c>
      <c r="C963" s="8" t="str" cm="1">
        <f t="array" aca="1" ref="C963" ca="1">IF(INDIRECT("'Student_Record 1'!E" &amp; ROW())="", "", INDIRECT("'Student_Record 1'!E" &amp; ROW()))</f>
        <v/>
      </c>
      <c r="D963" s="8" t="str" cm="1">
        <f t="array" aca="1" ref="D963" ca="1">IF(INDIRECT("'Student_Record 1'!G" &amp; ROW())="", "", INDIRECT("'Student_Record 1'!G" &amp; ROW()))</f>
        <v/>
      </c>
      <c r="E963" s="8" t="str" cm="1">
        <f t="array" aca="1" ref="E963" ca="1">IF(INDIRECT("'Student_Record 1'!I" &amp; ROW())="", "", INDIRECT("'Student_Record 1'!I" &amp; ROW()))</f>
        <v/>
      </c>
      <c r="F963" s="8" t="str" cm="1">
        <f t="array" aca="1" ref="F963" ca="1">IF(INDIRECT("'Student_Record 1'!O" &amp; ROW())="", "", INDIRECT("'Student_Record 1'!O" &amp; ROW()))</f>
        <v/>
      </c>
      <c r="G963" s="11"/>
      <c r="I963" s="11"/>
      <c r="J963" s="11"/>
      <c r="K963" s="11"/>
      <c r="L963" s="11"/>
      <c r="M963" s="11"/>
      <c r="N963" s="11"/>
      <c r="O963" s="11"/>
      <c r="P963" s="11"/>
      <c r="Q963" s="11"/>
    </row>
    <row r="964" spans="1:17" x14ac:dyDescent="0.25">
      <c r="A964" s="8" t="str" cm="1">
        <f t="array" aca="1" ref="A964" ca="1">IF(INDIRECT("'Student_Record 1'!A" &amp; ROW())="", "", INDIRECT("'Student_Record 1'!A" &amp; ROW()))</f>
        <v/>
      </c>
      <c r="B964" s="8" t="str" cm="1">
        <f t="array" aca="1" ref="B964" ca="1">IF(INDIRECT("'Student_Record 1'!C" &amp; ROW())="", "", INDIRECT("'Student_Record 1'!C" &amp; ROW()))</f>
        <v/>
      </c>
      <c r="C964" s="8" t="str" cm="1">
        <f t="array" aca="1" ref="C964" ca="1">IF(INDIRECT("'Student_Record 1'!E" &amp; ROW())="", "", INDIRECT("'Student_Record 1'!E" &amp; ROW()))</f>
        <v/>
      </c>
      <c r="D964" s="8" t="str" cm="1">
        <f t="array" aca="1" ref="D964" ca="1">IF(INDIRECT("'Student_Record 1'!G" &amp; ROW())="", "", INDIRECT("'Student_Record 1'!G" &amp; ROW()))</f>
        <v/>
      </c>
      <c r="E964" s="8" t="str" cm="1">
        <f t="array" aca="1" ref="E964" ca="1">IF(INDIRECT("'Student_Record 1'!I" &amp; ROW())="", "", INDIRECT("'Student_Record 1'!I" &amp; ROW()))</f>
        <v/>
      </c>
      <c r="F964" s="8" t="str" cm="1">
        <f t="array" aca="1" ref="F964" ca="1">IF(INDIRECT("'Student_Record 1'!O" &amp; ROW())="", "", INDIRECT("'Student_Record 1'!O" &amp; ROW()))</f>
        <v/>
      </c>
      <c r="G964" s="11"/>
      <c r="I964" s="11"/>
      <c r="J964" s="11"/>
      <c r="K964" s="11"/>
      <c r="L964" s="11"/>
      <c r="M964" s="11"/>
      <c r="N964" s="11"/>
      <c r="O964" s="11"/>
      <c r="P964" s="11"/>
      <c r="Q964" s="11"/>
    </row>
    <row r="965" spans="1:17" x14ac:dyDescent="0.25">
      <c r="A965" s="8" t="str" cm="1">
        <f t="array" aca="1" ref="A965" ca="1">IF(INDIRECT("'Student_Record 1'!A" &amp; ROW())="", "", INDIRECT("'Student_Record 1'!A" &amp; ROW()))</f>
        <v/>
      </c>
      <c r="B965" s="8" t="str" cm="1">
        <f t="array" aca="1" ref="B965" ca="1">IF(INDIRECT("'Student_Record 1'!C" &amp; ROW())="", "", INDIRECT("'Student_Record 1'!C" &amp; ROW()))</f>
        <v/>
      </c>
      <c r="C965" s="8" t="str" cm="1">
        <f t="array" aca="1" ref="C965" ca="1">IF(INDIRECT("'Student_Record 1'!E" &amp; ROW())="", "", INDIRECT("'Student_Record 1'!E" &amp; ROW()))</f>
        <v/>
      </c>
      <c r="D965" s="8" t="str" cm="1">
        <f t="array" aca="1" ref="D965" ca="1">IF(INDIRECT("'Student_Record 1'!G" &amp; ROW())="", "", INDIRECT("'Student_Record 1'!G" &amp; ROW()))</f>
        <v/>
      </c>
      <c r="E965" s="8" t="str" cm="1">
        <f t="array" aca="1" ref="E965" ca="1">IF(INDIRECT("'Student_Record 1'!I" &amp; ROW())="", "", INDIRECT("'Student_Record 1'!I" &amp; ROW()))</f>
        <v/>
      </c>
      <c r="F965" s="8" t="str" cm="1">
        <f t="array" aca="1" ref="F965" ca="1">IF(INDIRECT("'Student_Record 1'!O" &amp; ROW())="", "", INDIRECT("'Student_Record 1'!O" &amp; ROW()))</f>
        <v/>
      </c>
      <c r="G965" s="11"/>
      <c r="I965" s="11"/>
      <c r="J965" s="11"/>
      <c r="K965" s="11"/>
      <c r="L965" s="11"/>
      <c r="M965" s="11"/>
      <c r="N965" s="11"/>
      <c r="O965" s="11"/>
      <c r="P965" s="11"/>
      <c r="Q965" s="11"/>
    </row>
    <row r="966" spans="1:17" x14ac:dyDescent="0.25">
      <c r="A966" s="8" t="str" cm="1">
        <f t="array" aca="1" ref="A966" ca="1">IF(INDIRECT("'Student_Record 1'!A" &amp; ROW())="", "", INDIRECT("'Student_Record 1'!A" &amp; ROW()))</f>
        <v/>
      </c>
      <c r="B966" s="8" t="str" cm="1">
        <f t="array" aca="1" ref="B966" ca="1">IF(INDIRECT("'Student_Record 1'!C" &amp; ROW())="", "", INDIRECT("'Student_Record 1'!C" &amp; ROW()))</f>
        <v/>
      </c>
      <c r="C966" s="8" t="str" cm="1">
        <f t="array" aca="1" ref="C966" ca="1">IF(INDIRECT("'Student_Record 1'!E" &amp; ROW())="", "", INDIRECT("'Student_Record 1'!E" &amp; ROW()))</f>
        <v/>
      </c>
      <c r="D966" s="8" t="str" cm="1">
        <f t="array" aca="1" ref="D966" ca="1">IF(INDIRECT("'Student_Record 1'!G" &amp; ROW())="", "", INDIRECT("'Student_Record 1'!G" &amp; ROW()))</f>
        <v/>
      </c>
      <c r="E966" s="8" t="str" cm="1">
        <f t="array" aca="1" ref="E966" ca="1">IF(INDIRECT("'Student_Record 1'!I" &amp; ROW())="", "", INDIRECT("'Student_Record 1'!I" &amp; ROW()))</f>
        <v/>
      </c>
      <c r="F966" s="8" t="str" cm="1">
        <f t="array" aca="1" ref="F966" ca="1">IF(INDIRECT("'Student_Record 1'!O" &amp; ROW())="", "", INDIRECT("'Student_Record 1'!O" &amp; ROW()))</f>
        <v/>
      </c>
      <c r="G966" s="11"/>
      <c r="I966" s="11"/>
      <c r="J966" s="11"/>
      <c r="K966" s="11"/>
      <c r="L966" s="11"/>
      <c r="M966" s="11"/>
      <c r="N966" s="11"/>
      <c r="O966" s="11"/>
      <c r="P966" s="11"/>
      <c r="Q966" s="11"/>
    </row>
    <row r="967" spans="1:17" x14ac:dyDescent="0.25">
      <c r="A967" s="8" t="str" cm="1">
        <f t="array" aca="1" ref="A967" ca="1">IF(INDIRECT("'Student_Record 1'!A" &amp; ROW())="", "", INDIRECT("'Student_Record 1'!A" &amp; ROW()))</f>
        <v/>
      </c>
      <c r="B967" s="8" t="str" cm="1">
        <f t="array" aca="1" ref="B967" ca="1">IF(INDIRECT("'Student_Record 1'!C" &amp; ROW())="", "", INDIRECT("'Student_Record 1'!C" &amp; ROW()))</f>
        <v/>
      </c>
      <c r="C967" s="8" t="str" cm="1">
        <f t="array" aca="1" ref="C967" ca="1">IF(INDIRECT("'Student_Record 1'!E" &amp; ROW())="", "", INDIRECT("'Student_Record 1'!E" &amp; ROW()))</f>
        <v/>
      </c>
      <c r="D967" s="8" t="str" cm="1">
        <f t="array" aca="1" ref="D967" ca="1">IF(INDIRECT("'Student_Record 1'!G" &amp; ROW())="", "", INDIRECT("'Student_Record 1'!G" &amp; ROW()))</f>
        <v/>
      </c>
      <c r="E967" s="8" t="str" cm="1">
        <f t="array" aca="1" ref="E967" ca="1">IF(INDIRECT("'Student_Record 1'!I" &amp; ROW())="", "", INDIRECT("'Student_Record 1'!I" &amp; ROW()))</f>
        <v/>
      </c>
      <c r="F967" s="8" t="str" cm="1">
        <f t="array" aca="1" ref="F967" ca="1">IF(INDIRECT("'Student_Record 1'!O" &amp; ROW())="", "", INDIRECT("'Student_Record 1'!O" &amp; ROW()))</f>
        <v/>
      </c>
      <c r="G967" s="11"/>
      <c r="I967" s="11"/>
      <c r="J967" s="11"/>
      <c r="K967" s="11"/>
      <c r="L967" s="11"/>
      <c r="M967" s="11"/>
      <c r="N967" s="11"/>
      <c r="O967" s="11"/>
      <c r="P967" s="11"/>
      <c r="Q967" s="11"/>
    </row>
    <row r="968" spans="1:17" x14ac:dyDescent="0.25">
      <c r="A968" s="8" t="str" cm="1">
        <f t="array" aca="1" ref="A968" ca="1">IF(INDIRECT("'Student_Record 1'!A" &amp; ROW())="", "", INDIRECT("'Student_Record 1'!A" &amp; ROW()))</f>
        <v/>
      </c>
      <c r="B968" s="8" t="str" cm="1">
        <f t="array" aca="1" ref="B968" ca="1">IF(INDIRECT("'Student_Record 1'!C" &amp; ROW())="", "", INDIRECT("'Student_Record 1'!C" &amp; ROW()))</f>
        <v/>
      </c>
      <c r="C968" s="8" t="str" cm="1">
        <f t="array" aca="1" ref="C968" ca="1">IF(INDIRECT("'Student_Record 1'!E" &amp; ROW())="", "", INDIRECT("'Student_Record 1'!E" &amp; ROW()))</f>
        <v/>
      </c>
      <c r="D968" s="8" t="str" cm="1">
        <f t="array" aca="1" ref="D968" ca="1">IF(INDIRECT("'Student_Record 1'!G" &amp; ROW())="", "", INDIRECT("'Student_Record 1'!G" &amp; ROW()))</f>
        <v/>
      </c>
      <c r="E968" s="8" t="str" cm="1">
        <f t="array" aca="1" ref="E968" ca="1">IF(INDIRECT("'Student_Record 1'!I" &amp; ROW())="", "", INDIRECT("'Student_Record 1'!I" &amp; ROW()))</f>
        <v/>
      </c>
      <c r="F968" s="8" t="str" cm="1">
        <f t="array" aca="1" ref="F968" ca="1">IF(INDIRECT("'Student_Record 1'!O" &amp; ROW())="", "", INDIRECT("'Student_Record 1'!O" &amp; ROW()))</f>
        <v/>
      </c>
      <c r="G968" s="11"/>
      <c r="I968" s="11"/>
      <c r="J968" s="11"/>
      <c r="K968" s="11"/>
      <c r="L968" s="11"/>
      <c r="M968" s="11"/>
      <c r="N968" s="11"/>
      <c r="O968" s="11"/>
      <c r="P968" s="11"/>
      <c r="Q968" s="11"/>
    </row>
    <row r="969" spans="1:17" x14ac:dyDescent="0.25">
      <c r="A969" s="8" t="str" cm="1">
        <f t="array" aca="1" ref="A969" ca="1">IF(INDIRECT("'Student_Record 1'!A" &amp; ROW())="", "", INDIRECT("'Student_Record 1'!A" &amp; ROW()))</f>
        <v/>
      </c>
      <c r="B969" s="8" t="str" cm="1">
        <f t="array" aca="1" ref="B969" ca="1">IF(INDIRECT("'Student_Record 1'!C" &amp; ROW())="", "", INDIRECT("'Student_Record 1'!C" &amp; ROW()))</f>
        <v/>
      </c>
      <c r="C969" s="8" t="str" cm="1">
        <f t="array" aca="1" ref="C969" ca="1">IF(INDIRECT("'Student_Record 1'!E" &amp; ROW())="", "", INDIRECT("'Student_Record 1'!E" &amp; ROW()))</f>
        <v/>
      </c>
      <c r="D969" s="8" t="str" cm="1">
        <f t="array" aca="1" ref="D969" ca="1">IF(INDIRECT("'Student_Record 1'!G" &amp; ROW())="", "", INDIRECT("'Student_Record 1'!G" &amp; ROW()))</f>
        <v/>
      </c>
      <c r="E969" s="8" t="str" cm="1">
        <f t="array" aca="1" ref="E969" ca="1">IF(INDIRECT("'Student_Record 1'!I" &amp; ROW())="", "", INDIRECT("'Student_Record 1'!I" &amp; ROW()))</f>
        <v/>
      </c>
      <c r="F969" s="8" t="str" cm="1">
        <f t="array" aca="1" ref="F969" ca="1">IF(INDIRECT("'Student_Record 1'!O" &amp; ROW())="", "", INDIRECT("'Student_Record 1'!O" &amp; ROW()))</f>
        <v/>
      </c>
      <c r="G969" s="11"/>
      <c r="I969" s="11"/>
      <c r="J969" s="11"/>
      <c r="K969" s="11"/>
      <c r="L969" s="11"/>
      <c r="M969" s="11"/>
      <c r="N969" s="11"/>
      <c r="O969" s="11"/>
      <c r="P969" s="11"/>
      <c r="Q969" s="11"/>
    </row>
    <row r="970" spans="1:17" x14ac:dyDescent="0.25">
      <c r="A970" s="8" t="str" cm="1">
        <f t="array" aca="1" ref="A970" ca="1">IF(INDIRECT("'Student_Record 1'!A" &amp; ROW())="", "", INDIRECT("'Student_Record 1'!A" &amp; ROW()))</f>
        <v/>
      </c>
      <c r="B970" s="8" t="str" cm="1">
        <f t="array" aca="1" ref="B970" ca="1">IF(INDIRECT("'Student_Record 1'!C" &amp; ROW())="", "", INDIRECT("'Student_Record 1'!C" &amp; ROW()))</f>
        <v/>
      </c>
      <c r="C970" s="8" t="str" cm="1">
        <f t="array" aca="1" ref="C970" ca="1">IF(INDIRECT("'Student_Record 1'!E" &amp; ROW())="", "", INDIRECT("'Student_Record 1'!E" &amp; ROW()))</f>
        <v/>
      </c>
      <c r="D970" s="8" t="str" cm="1">
        <f t="array" aca="1" ref="D970" ca="1">IF(INDIRECT("'Student_Record 1'!G" &amp; ROW())="", "", INDIRECT("'Student_Record 1'!G" &amp; ROW()))</f>
        <v/>
      </c>
      <c r="E970" s="8" t="str" cm="1">
        <f t="array" aca="1" ref="E970" ca="1">IF(INDIRECT("'Student_Record 1'!I" &amp; ROW())="", "", INDIRECT("'Student_Record 1'!I" &amp; ROW()))</f>
        <v/>
      </c>
      <c r="F970" s="8" t="str" cm="1">
        <f t="array" aca="1" ref="F970" ca="1">IF(INDIRECT("'Student_Record 1'!O" &amp; ROW())="", "", INDIRECT("'Student_Record 1'!O" &amp; ROW()))</f>
        <v/>
      </c>
      <c r="G970" s="11"/>
      <c r="I970" s="11"/>
      <c r="J970" s="11"/>
      <c r="K970" s="11"/>
      <c r="L970" s="11"/>
      <c r="M970" s="11"/>
      <c r="N970" s="11"/>
      <c r="O970" s="11"/>
      <c r="P970" s="11"/>
      <c r="Q970" s="11"/>
    </row>
    <row r="971" spans="1:17" x14ac:dyDescent="0.25">
      <c r="A971" s="8" t="str" cm="1">
        <f t="array" aca="1" ref="A971" ca="1">IF(INDIRECT("'Student_Record 1'!A" &amp; ROW())="", "", INDIRECT("'Student_Record 1'!A" &amp; ROW()))</f>
        <v/>
      </c>
      <c r="B971" s="8" t="str" cm="1">
        <f t="array" aca="1" ref="B971" ca="1">IF(INDIRECT("'Student_Record 1'!C" &amp; ROW())="", "", INDIRECT("'Student_Record 1'!C" &amp; ROW()))</f>
        <v/>
      </c>
      <c r="C971" s="8" t="str" cm="1">
        <f t="array" aca="1" ref="C971" ca="1">IF(INDIRECT("'Student_Record 1'!E" &amp; ROW())="", "", INDIRECT("'Student_Record 1'!E" &amp; ROW()))</f>
        <v/>
      </c>
      <c r="D971" s="8" t="str" cm="1">
        <f t="array" aca="1" ref="D971" ca="1">IF(INDIRECT("'Student_Record 1'!G" &amp; ROW())="", "", INDIRECT("'Student_Record 1'!G" &amp; ROW()))</f>
        <v/>
      </c>
      <c r="E971" s="8" t="str" cm="1">
        <f t="array" aca="1" ref="E971" ca="1">IF(INDIRECT("'Student_Record 1'!I" &amp; ROW())="", "", INDIRECT("'Student_Record 1'!I" &amp; ROW()))</f>
        <v/>
      </c>
      <c r="F971" s="8" t="str" cm="1">
        <f t="array" aca="1" ref="F971" ca="1">IF(INDIRECT("'Student_Record 1'!O" &amp; ROW())="", "", INDIRECT("'Student_Record 1'!O" &amp; ROW()))</f>
        <v/>
      </c>
      <c r="G971" s="11"/>
      <c r="I971" s="11"/>
      <c r="J971" s="11"/>
      <c r="K971" s="11"/>
      <c r="L971" s="11"/>
      <c r="M971" s="11"/>
      <c r="N971" s="11"/>
      <c r="O971" s="11"/>
      <c r="P971" s="11"/>
      <c r="Q971" s="11"/>
    </row>
    <row r="972" spans="1:17" x14ac:dyDescent="0.25">
      <c r="A972" s="8" t="str" cm="1">
        <f t="array" aca="1" ref="A972" ca="1">IF(INDIRECT("'Student_Record 1'!A" &amp; ROW())="", "", INDIRECT("'Student_Record 1'!A" &amp; ROW()))</f>
        <v/>
      </c>
      <c r="B972" s="8" t="str" cm="1">
        <f t="array" aca="1" ref="B972" ca="1">IF(INDIRECT("'Student_Record 1'!C" &amp; ROW())="", "", INDIRECT("'Student_Record 1'!C" &amp; ROW()))</f>
        <v/>
      </c>
      <c r="C972" s="8" t="str" cm="1">
        <f t="array" aca="1" ref="C972" ca="1">IF(INDIRECT("'Student_Record 1'!E" &amp; ROW())="", "", INDIRECT("'Student_Record 1'!E" &amp; ROW()))</f>
        <v/>
      </c>
      <c r="D972" s="8" t="str" cm="1">
        <f t="array" aca="1" ref="D972" ca="1">IF(INDIRECT("'Student_Record 1'!G" &amp; ROW())="", "", INDIRECT("'Student_Record 1'!G" &amp; ROW()))</f>
        <v/>
      </c>
      <c r="E972" s="8" t="str" cm="1">
        <f t="array" aca="1" ref="E972" ca="1">IF(INDIRECT("'Student_Record 1'!I" &amp; ROW())="", "", INDIRECT("'Student_Record 1'!I" &amp; ROW()))</f>
        <v/>
      </c>
      <c r="F972" s="8" t="str" cm="1">
        <f t="array" aca="1" ref="F972" ca="1">IF(INDIRECT("'Student_Record 1'!O" &amp; ROW())="", "", INDIRECT("'Student_Record 1'!O" &amp; ROW()))</f>
        <v/>
      </c>
      <c r="G972" s="11"/>
      <c r="I972" s="11"/>
      <c r="J972" s="11"/>
      <c r="K972" s="11"/>
      <c r="L972" s="11"/>
      <c r="M972" s="11"/>
      <c r="N972" s="11"/>
      <c r="O972" s="11"/>
      <c r="P972" s="11"/>
      <c r="Q972" s="11"/>
    </row>
    <row r="973" spans="1:17" x14ac:dyDescent="0.25">
      <c r="A973" s="8" t="str" cm="1">
        <f t="array" aca="1" ref="A973" ca="1">IF(INDIRECT("'Student_Record 1'!A" &amp; ROW())="", "", INDIRECT("'Student_Record 1'!A" &amp; ROW()))</f>
        <v/>
      </c>
      <c r="B973" s="8" t="str" cm="1">
        <f t="array" aca="1" ref="B973" ca="1">IF(INDIRECT("'Student_Record 1'!C" &amp; ROW())="", "", INDIRECT("'Student_Record 1'!C" &amp; ROW()))</f>
        <v/>
      </c>
      <c r="C973" s="8" t="str" cm="1">
        <f t="array" aca="1" ref="C973" ca="1">IF(INDIRECT("'Student_Record 1'!E" &amp; ROW())="", "", INDIRECT("'Student_Record 1'!E" &amp; ROW()))</f>
        <v/>
      </c>
      <c r="D973" s="8" t="str" cm="1">
        <f t="array" aca="1" ref="D973" ca="1">IF(INDIRECT("'Student_Record 1'!G" &amp; ROW())="", "", INDIRECT("'Student_Record 1'!G" &amp; ROW()))</f>
        <v/>
      </c>
      <c r="E973" s="8" t="str" cm="1">
        <f t="array" aca="1" ref="E973" ca="1">IF(INDIRECT("'Student_Record 1'!I" &amp; ROW())="", "", INDIRECT("'Student_Record 1'!I" &amp; ROW()))</f>
        <v/>
      </c>
      <c r="F973" s="8" t="str" cm="1">
        <f t="array" aca="1" ref="F973" ca="1">IF(INDIRECT("'Student_Record 1'!O" &amp; ROW())="", "", INDIRECT("'Student_Record 1'!O" &amp; ROW()))</f>
        <v/>
      </c>
      <c r="G973" s="11"/>
      <c r="I973" s="11"/>
      <c r="J973" s="11"/>
      <c r="K973" s="11"/>
      <c r="L973" s="11"/>
      <c r="M973" s="11"/>
      <c r="N973" s="11"/>
      <c r="O973" s="11"/>
      <c r="P973" s="11"/>
      <c r="Q973" s="11"/>
    </row>
    <row r="974" spans="1:17" x14ac:dyDescent="0.25">
      <c r="A974" s="8" t="str" cm="1">
        <f t="array" aca="1" ref="A974" ca="1">IF(INDIRECT("'Student_Record 1'!A" &amp; ROW())="", "", INDIRECT("'Student_Record 1'!A" &amp; ROW()))</f>
        <v/>
      </c>
      <c r="B974" s="8" t="str" cm="1">
        <f t="array" aca="1" ref="B974" ca="1">IF(INDIRECT("'Student_Record 1'!C" &amp; ROW())="", "", INDIRECT("'Student_Record 1'!C" &amp; ROW()))</f>
        <v/>
      </c>
      <c r="C974" s="8" t="str" cm="1">
        <f t="array" aca="1" ref="C974" ca="1">IF(INDIRECT("'Student_Record 1'!E" &amp; ROW())="", "", INDIRECT("'Student_Record 1'!E" &amp; ROW()))</f>
        <v/>
      </c>
      <c r="D974" s="8" t="str" cm="1">
        <f t="array" aca="1" ref="D974" ca="1">IF(INDIRECT("'Student_Record 1'!G" &amp; ROW())="", "", INDIRECT("'Student_Record 1'!G" &amp; ROW()))</f>
        <v/>
      </c>
      <c r="E974" s="8" t="str" cm="1">
        <f t="array" aca="1" ref="E974" ca="1">IF(INDIRECT("'Student_Record 1'!I" &amp; ROW())="", "", INDIRECT("'Student_Record 1'!I" &amp; ROW()))</f>
        <v/>
      </c>
      <c r="F974" s="8" t="str" cm="1">
        <f t="array" aca="1" ref="F974" ca="1">IF(INDIRECT("'Student_Record 1'!O" &amp; ROW())="", "", INDIRECT("'Student_Record 1'!O" &amp; ROW()))</f>
        <v/>
      </c>
      <c r="G974" s="11"/>
      <c r="I974" s="11"/>
      <c r="J974" s="11"/>
      <c r="K974" s="11"/>
      <c r="L974" s="11"/>
      <c r="M974" s="11"/>
      <c r="N974" s="11"/>
      <c r="O974" s="11"/>
      <c r="P974" s="11"/>
      <c r="Q974" s="11"/>
    </row>
    <row r="975" spans="1:17" x14ac:dyDescent="0.25">
      <c r="A975" s="8" t="str" cm="1">
        <f t="array" aca="1" ref="A975" ca="1">IF(INDIRECT("'Student_Record 1'!A" &amp; ROW())="", "", INDIRECT("'Student_Record 1'!A" &amp; ROW()))</f>
        <v/>
      </c>
      <c r="B975" s="8" t="str" cm="1">
        <f t="array" aca="1" ref="B975" ca="1">IF(INDIRECT("'Student_Record 1'!C" &amp; ROW())="", "", INDIRECT("'Student_Record 1'!C" &amp; ROW()))</f>
        <v/>
      </c>
      <c r="C975" s="8" t="str" cm="1">
        <f t="array" aca="1" ref="C975" ca="1">IF(INDIRECT("'Student_Record 1'!E" &amp; ROW())="", "", INDIRECT("'Student_Record 1'!E" &amp; ROW()))</f>
        <v/>
      </c>
      <c r="D975" s="8" t="str" cm="1">
        <f t="array" aca="1" ref="D975" ca="1">IF(INDIRECT("'Student_Record 1'!G" &amp; ROW())="", "", INDIRECT("'Student_Record 1'!G" &amp; ROW()))</f>
        <v/>
      </c>
      <c r="E975" s="8" t="str" cm="1">
        <f t="array" aca="1" ref="E975" ca="1">IF(INDIRECT("'Student_Record 1'!I" &amp; ROW())="", "", INDIRECT("'Student_Record 1'!I" &amp; ROW()))</f>
        <v/>
      </c>
      <c r="F975" s="8" t="str" cm="1">
        <f t="array" aca="1" ref="F975" ca="1">IF(INDIRECT("'Student_Record 1'!O" &amp; ROW())="", "", INDIRECT("'Student_Record 1'!O" &amp; ROW()))</f>
        <v/>
      </c>
      <c r="G975" s="11"/>
      <c r="I975" s="11"/>
      <c r="J975" s="11"/>
      <c r="K975" s="11"/>
      <c r="L975" s="11"/>
      <c r="M975" s="11"/>
      <c r="N975" s="11"/>
      <c r="O975" s="11"/>
      <c r="P975" s="11"/>
      <c r="Q975" s="11"/>
    </row>
    <row r="976" spans="1:17" x14ac:dyDescent="0.25">
      <c r="A976" s="8" t="str" cm="1">
        <f t="array" aca="1" ref="A976" ca="1">IF(INDIRECT("'Student_Record 1'!A" &amp; ROW())="", "", INDIRECT("'Student_Record 1'!A" &amp; ROW()))</f>
        <v/>
      </c>
      <c r="B976" s="8" t="str" cm="1">
        <f t="array" aca="1" ref="B976" ca="1">IF(INDIRECT("'Student_Record 1'!C" &amp; ROW())="", "", INDIRECT("'Student_Record 1'!C" &amp; ROW()))</f>
        <v/>
      </c>
      <c r="C976" s="8" t="str" cm="1">
        <f t="array" aca="1" ref="C976" ca="1">IF(INDIRECT("'Student_Record 1'!E" &amp; ROW())="", "", INDIRECT("'Student_Record 1'!E" &amp; ROW()))</f>
        <v/>
      </c>
      <c r="D976" s="8" t="str" cm="1">
        <f t="array" aca="1" ref="D976" ca="1">IF(INDIRECT("'Student_Record 1'!G" &amp; ROW())="", "", INDIRECT("'Student_Record 1'!G" &amp; ROW()))</f>
        <v/>
      </c>
      <c r="E976" s="8" t="str" cm="1">
        <f t="array" aca="1" ref="E976" ca="1">IF(INDIRECT("'Student_Record 1'!I" &amp; ROW())="", "", INDIRECT("'Student_Record 1'!I" &amp; ROW()))</f>
        <v/>
      </c>
      <c r="F976" s="8" t="str" cm="1">
        <f t="array" aca="1" ref="F976" ca="1">IF(INDIRECT("'Student_Record 1'!O" &amp; ROW())="", "", INDIRECT("'Student_Record 1'!O" &amp; ROW()))</f>
        <v/>
      </c>
      <c r="G976" s="11"/>
      <c r="I976" s="11"/>
      <c r="J976" s="11"/>
      <c r="K976" s="11"/>
      <c r="L976" s="11"/>
      <c r="M976" s="11"/>
      <c r="N976" s="11"/>
      <c r="O976" s="11"/>
      <c r="P976" s="11"/>
      <c r="Q976" s="11"/>
    </row>
    <row r="977" spans="1:17" x14ac:dyDescent="0.25">
      <c r="A977" s="8" t="str" cm="1">
        <f t="array" aca="1" ref="A977" ca="1">IF(INDIRECT("'Student_Record 1'!A" &amp; ROW())="", "", INDIRECT("'Student_Record 1'!A" &amp; ROW()))</f>
        <v/>
      </c>
      <c r="B977" s="8" t="str" cm="1">
        <f t="array" aca="1" ref="B977" ca="1">IF(INDIRECT("'Student_Record 1'!C" &amp; ROW())="", "", INDIRECT("'Student_Record 1'!C" &amp; ROW()))</f>
        <v/>
      </c>
      <c r="C977" s="8" t="str" cm="1">
        <f t="array" aca="1" ref="C977" ca="1">IF(INDIRECT("'Student_Record 1'!E" &amp; ROW())="", "", INDIRECT("'Student_Record 1'!E" &amp; ROW()))</f>
        <v/>
      </c>
      <c r="D977" s="8" t="str" cm="1">
        <f t="array" aca="1" ref="D977" ca="1">IF(INDIRECT("'Student_Record 1'!G" &amp; ROW())="", "", INDIRECT("'Student_Record 1'!G" &amp; ROW()))</f>
        <v/>
      </c>
      <c r="E977" s="8" t="str" cm="1">
        <f t="array" aca="1" ref="E977" ca="1">IF(INDIRECT("'Student_Record 1'!I" &amp; ROW())="", "", INDIRECT("'Student_Record 1'!I" &amp; ROW()))</f>
        <v/>
      </c>
      <c r="F977" s="8" t="str" cm="1">
        <f t="array" aca="1" ref="F977" ca="1">IF(INDIRECT("'Student_Record 1'!O" &amp; ROW())="", "", INDIRECT("'Student_Record 1'!O" &amp; ROW()))</f>
        <v/>
      </c>
      <c r="G977" s="11"/>
      <c r="I977" s="11"/>
      <c r="J977" s="11"/>
      <c r="K977" s="11"/>
      <c r="L977" s="11"/>
      <c r="M977" s="11"/>
      <c r="N977" s="11"/>
      <c r="O977" s="11"/>
      <c r="P977" s="11"/>
      <c r="Q977" s="11"/>
    </row>
    <row r="978" spans="1:17" x14ac:dyDescent="0.25">
      <c r="A978" s="8" t="str" cm="1">
        <f t="array" aca="1" ref="A978" ca="1">IF(INDIRECT("'Student_Record 1'!A" &amp; ROW())="", "", INDIRECT("'Student_Record 1'!A" &amp; ROW()))</f>
        <v/>
      </c>
      <c r="B978" s="8" t="str" cm="1">
        <f t="array" aca="1" ref="B978" ca="1">IF(INDIRECT("'Student_Record 1'!C" &amp; ROW())="", "", INDIRECT("'Student_Record 1'!C" &amp; ROW()))</f>
        <v/>
      </c>
      <c r="C978" s="8" t="str" cm="1">
        <f t="array" aca="1" ref="C978" ca="1">IF(INDIRECT("'Student_Record 1'!E" &amp; ROW())="", "", INDIRECT("'Student_Record 1'!E" &amp; ROW()))</f>
        <v/>
      </c>
      <c r="D978" s="8" t="str" cm="1">
        <f t="array" aca="1" ref="D978" ca="1">IF(INDIRECT("'Student_Record 1'!G" &amp; ROW())="", "", INDIRECT("'Student_Record 1'!G" &amp; ROW()))</f>
        <v/>
      </c>
      <c r="E978" s="8" t="str" cm="1">
        <f t="array" aca="1" ref="E978" ca="1">IF(INDIRECT("'Student_Record 1'!I" &amp; ROW())="", "", INDIRECT("'Student_Record 1'!I" &amp; ROW()))</f>
        <v/>
      </c>
      <c r="F978" s="8" t="str" cm="1">
        <f t="array" aca="1" ref="F978" ca="1">IF(INDIRECT("'Student_Record 1'!O" &amp; ROW())="", "", INDIRECT("'Student_Record 1'!O" &amp; ROW()))</f>
        <v/>
      </c>
      <c r="G978" s="11"/>
      <c r="I978" s="11"/>
      <c r="J978" s="11"/>
      <c r="K978" s="11"/>
      <c r="L978" s="11"/>
      <c r="M978" s="11"/>
      <c r="N978" s="11"/>
      <c r="O978" s="11"/>
      <c r="P978" s="11"/>
      <c r="Q978" s="11"/>
    </row>
    <row r="979" spans="1:17" x14ac:dyDescent="0.25">
      <c r="A979" s="8" t="str" cm="1">
        <f t="array" aca="1" ref="A979" ca="1">IF(INDIRECT("'Student_Record 1'!A" &amp; ROW())="", "", INDIRECT("'Student_Record 1'!A" &amp; ROW()))</f>
        <v/>
      </c>
      <c r="B979" s="8" t="str" cm="1">
        <f t="array" aca="1" ref="B979" ca="1">IF(INDIRECT("'Student_Record 1'!C" &amp; ROW())="", "", INDIRECT("'Student_Record 1'!C" &amp; ROW()))</f>
        <v/>
      </c>
      <c r="C979" s="8" t="str" cm="1">
        <f t="array" aca="1" ref="C979" ca="1">IF(INDIRECT("'Student_Record 1'!E" &amp; ROW())="", "", INDIRECT("'Student_Record 1'!E" &amp; ROW()))</f>
        <v/>
      </c>
      <c r="D979" s="8" t="str" cm="1">
        <f t="array" aca="1" ref="D979" ca="1">IF(INDIRECT("'Student_Record 1'!G" &amp; ROW())="", "", INDIRECT("'Student_Record 1'!G" &amp; ROW()))</f>
        <v/>
      </c>
      <c r="E979" s="8" t="str" cm="1">
        <f t="array" aca="1" ref="E979" ca="1">IF(INDIRECT("'Student_Record 1'!I" &amp; ROW())="", "", INDIRECT("'Student_Record 1'!I" &amp; ROW()))</f>
        <v/>
      </c>
      <c r="F979" s="8" t="str" cm="1">
        <f t="array" aca="1" ref="F979" ca="1">IF(INDIRECT("'Student_Record 1'!O" &amp; ROW())="", "", INDIRECT("'Student_Record 1'!O" &amp; ROW()))</f>
        <v/>
      </c>
      <c r="G979" s="11"/>
      <c r="I979" s="11"/>
      <c r="J979" s="11"/>
      <c r="K979" s="11"/>
      <c r="L979" s="11"/>
      <c r="M979" s="11"/>
      <c r="N979" s="11"/>
      <c r="O979" s="11"/>
      <c r="P979" s="11"/>
      <c r="Q979" s="11"/>
    </row>
    <row r="980" spans="1:17" x14ac:dyDescent="0.25">
      <c r="A980" s="8" t="str" cm="1">
        <f t="array" aca="1" ref="A980" ca="1">IF(INDIRECT("'Student_Record 1'!A" &amp; ROW())="", "", INDIRECT("'Student_Record 1'!A" &amp; ROW()))</f>
        <v/>
      </c>
      <c r="B980" s="8" t="str" cm="1">
        <f t="array" aca="1" ref="B980" ca="1">IF(INDIRECT("'Student_Record 1'!C" &amp; ROW())="", "", INDIRECT("'Student_Record 1'!C" &amp; ROW()))</f>
        <v/>
      </c>
      <c r="C980" s="8" t="str" cm="1">
        <f t="array" aca="1" ref="C980" ca="1">IF(INDIRECT("'Student_Record 1'!E" &amp; ROW())="", "", INDIRECT("'Student_Record 1'!E" &amp; ROW()))</f>
        <v/>
      </c>
      <c r="D980" s="8" t="str" cm="1">
        <f t="array" aca="1" ref="D980" ca="1">IF(INDIRECT("'Student_Record 1'!G" &amp; ROW())="", "", INDIRECT("'Student_Record 1'!G" &amp; ROW()))</f>
        <v/>
      </c>
      <c r="E980" s="8" t="str" cm="1">
        <f t="array" aca="1" ref="E980" ca="1">IF(INDIRECT("'Student_Record 1'!I" &amp; ROW())="", "", INDIRECT("'Student_Record 1'!I" &amp; ROW()))</f>
        <v/>
      </c>
      <c r="F980" s="8" t="str" cm="1">
        <f t="array" aca="1" ref="F980" ca="1">IF(INDIRECT("'Student_Record 1'!O" &amp; ROW())="", "", INDIRECT("'Student_Record 1'!O" &amp; ROW()))</f>
        <v/>
      </c>
      <c r="G980" s="11"/>
      <c r="I980" s="11"/>
      <c r="J980" s="11"/>
      <c r="K980" s="11"/>
      <c r="L980" s="11"/>
      <c r="M980" s="11"/>
      <c r="N980" s="11"/>
      <c r="O980" s="11"/>
      <c r="P980" s="11"/>
      <c r="Q980" s="11"/>
    </row>
    <row r="981" spans="1:17" x14ac:dyDescent="0.25">
      <c r="A981" s="8" t="str" cm="1">
        <f t="array" aca="1" ref="A981" ca="1">IF(INDIRECT("'Student_Record 1'!A" &amp; ROW())="", "", INDIRECT("'Student_Record 1'!A" &amp; ROW()))</f>
        <v/>
      </c>
      <c r="B981" s="8" t="str" cm="1">
        <f t="array" aca="1" ref="B981" ca="1">IF(INDIRECT("'Student_Record 1'!C" &amp; ROW())="", "", INDIRECT("'Student_Record 1'!C" &amp; ROW()))</f>
        <v/>
      </c>
      <c r="C981" s="8" t="str" cm="1">
        <f t="array" aca="1" ref="C981" ca="1">IF(INDIRECT("'Student_Record 1'!E" &amp; ROW())="", "", INDIRECT("'Student_Record 1'!E" &amp; ROW()))</f>
        <v/>
      </c>
      <c r="D981" s="8" t="str" cm="1">
        <f t="array" aca="1" ref="D981" ca="1">IF(INDIRECT("'Student_Record 1'!G" &amp; ROW())="", "", INDIRECT("'Student_Record 1'!G" &amp; ROW()))</f>
        <v/>
      </c>
      <c r="E981" s="8" t="str" cm="1">
        <f t="array" aca="1" ref="E981" ca="1">IF(INDIRECT("'Student_Record 1'!I" &amp; ROW())="", "", INDIRECT("'Student_Record 1'!I" &amp; ROW()))</f>
        <v/>
      </c>
      <c r="F981" s="8" t="str" cm="1">
        <f t="array" aca="1" ref="F981" ca="1">IF(INDIRECT("'Student_Record 1'!O" &amp; ROW())="", "", INDIRECT("'Student_Record 1'!O" &amp; ROW()))</f>
        <v/>
      </c>
      <c r="G981" s="11"/>
      <c r="I981" s="11"/>
      <c r="J981" s="11"/>
      <c r="K981" s="11"/>
      <c r="L981" s="11"/>
      <c r="M981" s="11"/>
      <c r="N981" s="11"/>
      <c r="O981" s="11"/>
      <c r="P981" s="11"/>
      <c r="Q981" s="11"/>
    </row>
    <row r="982" spans="1:17" x14ac:dyDescent="0.25">
      <c r="A982" s="8" t="str" cm="1">
        <f t="array" aca="1" ref="A982" ca="1">IF(INDIRECT("'Student_Record 1'!A" &amp; ROW())="", "", INDIRECT("'Student_Record 1'!A" &amp; ROW()))</f>
        <v/>
      </c>
      <c r="B982" s="8" t="str" cm="1">
        <f t="array" aca="1" ref="B982" ca="1">IF(INDIRECT("'Student_Record 1'!C" &amp; ROW())="", "", INDIRECT("'Student_Record 1'!C" &amp; ROW()))</f>
        <v/>
      </c>
      <c r="C982" s="8" t="str" cm="1">
        <f t="array" aca="1" ref="C982" ca="1">IF(INDIRECT("'Student_Record 1'!E" &amp; ROW())="", "", INDIRECT("'Student_Record 1'!E" &amp; ROW()))</f>
        <v/>
      </c>
      <c r="D982" s="8" t="str" cm="1">
        <f t="array" aca="1" ref="D982" ca="1">IF(INDIRECT("'Student_Record 1'!G" &amp; ROW())="", "", INDIRECT("'Student_Record 1'!G" &amp; ROW()))</f>
        <v/>
      </c>
      <c r="E982" s="8" t="str" cm="1">
        <f t="array" aca="1" ref="E982" ca="1">IF(INDIRECT("'Student_Record 1'!I" &amp; ROW())="", "", INDIRECT("'Student_Record 1'!I" &amp; ROW()))</f>
        <v/>
      </c>
      <c r="F982" s="8" t="str" cm="1">
        <f t="array" aca="1" ref="F982" ca="1">IF(INDIRECT("'Student_Record 1'!O" &amp; ROW())="", "", INDIRECT("'Student_Record 1'!O" &amp; ROW()))</f>
        <v/>
      </c>
      <c r="G982" s="11"/>
      <c r="I982" s="11"/>
      <c r="J982" s="11"/>
      <c r="K982" s="11"/>
      <c r="L982" s="11"/>
      <c r="M982" s="11"/>
      <c r="N982" s="11"/>
      <c r="O982" s="11"/>
      <c r="P982" s="11"/>
      <c r="Q982" s="11"/>
    </row>
    <row r="983" spans="1:17" x14ac:dyDescent="0.25">
      <c r="A983" s="8" t="str" cm="1">
        <f t="array" aca="1" ref="A983" ca="1">IF(INDIRECT("'Student_Record 1'!A" &amp; ROW())="", "", INDIRECT("'Student_Record 1'!A" &amp; ROW()))</f>
        <v/>
      </c>
      <c r="B983" s="8" t="str" cm="1">
        <f t="array" aca="1" ref="B983" ca="1">IF(INDIRECT("'Student_Record 1'!C" &amp; ROW())="", "", INDIRECT("'Student_Record 1'!C" &amp; ROW()))</f>
        <v/>
      </c>
      <c r="C983" s="8" t="str" cm="1">
        <f t="array" aca="1" ref="C983" ca="1">IF(INDIRECT("'Student_Record 1'!E" &amp; ROW())="", "", INDIRECT("'Student_Record 1'!E" &amp; ROW()))</f>
        <v/>
      </c>
      <c r="D983" s="8" t="str" cm="1">
        <f t="array" aca="1" ref="D983" ca="1">IF(INDIRECT("'Student_Record 1'!G" &amp; ROW())="", "", INDIRECT("'Student_Record 1'!G" &amp; ROW()))</f>
        <v/>
      </c>
      <c r="E983" s="8" t="str" cm="1">
        <f t="array" aca="1" ref="E983" ca="1">IF(INDIRECT("'Student_Record 1'!I" &amp; ROW())="", "", INDIRECT("'Student_Record 1'!I" &amp; ROW()))</f>
        <v/>
      </c>
      <c r="F983" s="8" t="str" cm="1">
        <f t="array" aca="1" ref="F983" ca="1">IF(INDIRECT("'Student_Record 1'!O" &amp; ROW())="", "", INDIRECT("'Student_Record 1'!O" &amp; ROW()))</f>
        <v/>
      </c>
      <c r="G983" s="11"/>
      <c r="I983" s="11"/>
      <c r="J983" s="11"/>
      <c r="K983" s="11"/>
      <c r="L983" s="11"/>
      <c r="M983" s="11"/>
      <c r="N983" s="11"/>
      <c r="O983" s="11"/>
      <c r="P983" s="11"/>
      <c r="Q983" s="11"/>
    </row>
    <row r="984" spans="1:17" x14ac:dyDescent="0.25">
      <c r="A984" s="8" t="str" cm="1">
        <f t="array" aca="1" ref="A984" ca="1">IF(INDIRECT("'Student_Record 1'!A" &amp; ROW())="", "", INDIRECT("'Student_Record 1'!A" &amp; ROW()))</f>
        <v/>
      </c>
      <c r="B984" s="8" t="str" cm="1">
        <f t="array" aca="1" ref="B984" ca="1">IF(INDIRECT("'Student_Record 1'!C" &amp; ROW())="", "", INDIRECT("'Student_Record 1'!C" &amp; ROW()))</f>
        <v/>
      </c>
      <c r="C984" s="8" t="str" cm="1">
        <f t="array" aca="1" ref="C984" ca="1">IF(INDIRECT("'Student_Record 1'!E" &amp; ROW())="", "", INDIRECT("'Student_Record 1'!E" &amp; ROW()))</f>
        <v/>
      </c>
      <c r="D984" s="8" t="str" cm="1">
        <f t="array" aca="1" ref="D984" ca="1">IF(INDIRECT("'Student_Record 1'!G" &amp; ROW())="", "", INDIRECT("'Student_Record 1'!G" &amp; ROW()))</f>
        <v/>
      </c>
      <c r="E984" s="8" t="str" cm="1">
        <f t="array" aca="1" ref="E984" ca="1">IF(INDIRECT("'Student_Record 1'!I" &amp; ROW())="", "", INDIRECT("'Student_Record 1'!I" &amp; ROW()))</f>
        <v/>
      </c>
      <c r="F984" s="8" t="str" cm="1">
        <f t="array" aca="1" ref="F984" ca="1">IF(INDIRECT("'Student_Record 1'!O" &amp; ROW())="", "", INDIRECT("'Student_Record 1'!O" &amp; ROW()))</f>
        <v/>
      </c>
      <c r="G984" s="11"/>
      <c r="I984" s="11"/>
      <c r="J984" s="11"/>
      <c r="K984" s="11"/>
      <c r="L984" s="11"/>
      <c r="M984" s="11"/>
      <c r="N984" s="11"/>
      <c r="O984" s="11"/>
      <c r="P984" s="11"/>
      <c r="Q984" s="11"/>
    </row>
    <row r="985" spans="1:17" x14ac:dyDescent="0.25">
      <c r="A985" s="8" t="str" cm="1">
        <f t="array" aca="1" ref="A985" ca="1">IF(INDIRECT("'Student_Record 1'!A" &amp; ROW())="", "", INDIRECT("'Student_Record 1'!A" &amp; ROW()))</f>
        <v/>
      </c>
      <c r="B985" s="8" t="str" cm="1">
        <f t="array" aca="1" ref="B985" ca="1">IF(INDIRECT("'Student_Record 1'!C" &amp; ROW())="", "", INDIRECT("'Student_Record 1'!C" &amp; ROW()))</f>
        <v/>
      </c>
      <c r="C985" s="8" t="str" cm="1">
        <f t="array" aca="1" ref="C985" ca="1">IF(INDIRECT("'Student_Record 1'!E" &amp; ROW())="", "", INDIRECT("'Student_Record 1'!E" &amp; ROW()))</f>
        <v/>
      </c>
      <c r="D985" s="8" t="str" cm="1">
        <f t="array" aca="1" ref="D985" ca="1">IF(INDIRECT("'Student_Record 1'!G" &amp; ROW())="", "", INDIRECT("'Student_Record 1'!G" &amp; ROW()))</f>
        <v/>
      </c>
      <c r="E985" s="8" t="str" cm="1">
        <f t="array" aca="1" ref="E985" ca="1">IF(INDIRECT("'Student_Record 1'!I" &amp; ROW())="", "", INDIRECT("'Student_Record 1'!I" &amp; ROW()))</f>
        <v/>
      </c>
      <c r="F985" s="8" t="str" cm="1">
        <f t="array" aca="1" ref="F985" ca="1">IF(INDIRECT("'Student_Record 1'!O" &amp; ROW())="", "", INDIRECT("'Student_Record 1'!O" &amp; ROW()))</f>
        <v/>
      </c>
      <c r="G985" s="11"/>
      <c r="I985" s="11"/>
      <c r="J985" s="11"/>
      <c r="K985" s="11"/>
      <c r="L985" s="11"/>
      <c r="M985" s="11"/>
      <c r="N985" s="11"/>
      <c r="O985" s="11"/>
      <c r="P985" s="11"/>
      <c r="Q985" s="11"/>
    </row>
    <row r="986" spans="1:17" x14ac:dyDescent="0.25">
      <c r="A986" s="8" t="str" cm="1">
        <f t="array" aca="1" ref="A986" ca="1">IF(INDIRECT("'Student_Record 1'!A" &amp; ROW())="", "", INDIRECT("'Student_Record 1'!A" &amp; ROW()))</f>
        <v/>
      </c>
      <c r="B986" s="8" t="str" cm="1">
        <f t="array" aca="1" ref="B986" ca="1">IF(INDIRECT("'Student_Record 1'!C" &amp; ROW())="", "", INDIRECT("'Student_Record 1'!C" &amp; ROW()))</f>
        <v/>
      </c>
      <c r="C986" s="8" t="str" cm="1">
        <f t="array" aca="1" ref="C986" ca="1">IF(INDIRECT("'Student_Record 1'!E" &amp; ROW())="", "", INDIRECT("'Student_Record 1'!E" &amp; ROW()))</f>
        <v/>
      </c>
      <c r="D986" s="8" t="str" cm="1">
        <f t="array" aca="1" ref="D986" ca="1">IF(INDIRECT("'Student_Record 1'!G" &amp; ROW())="", "", INDIRECT("'Student_Record 1'!G" &amp; ROW()))</f>
        <v/>
      </c>
      <c r="E986" s="8" t="str" cm="1">
        <f t="array" aca="1" ref="E986" ca="1">IF(INDIRECT("'Student_Record 1'!I" &amp; ROW())="", "", INDIRECT("'Student_Record 1'!I" &amp; ROW()))</f>
        <v/>
      </c>
      <c r="F986" s="8" t="str" cm="1">
        <f t="array" aca="1" ref="F986" ca="1">IF(INDIRECT("'Student_Record 1'!O" &amp; ROW())="", "", INDIRECT("'Student_Record 1'!O" &amp; ROW()))</f>
        <v/>
      </c>
      <c r="G986" s="11"/>
      <c r="I986" s="11"/>
      <c r="J986" s="11"/>
      <c r="K986" s="11"/>
      <c r="L986" s="11"/>
      <c r="M986" s="11"/>
      <c r="N986" s="11"/>
      <c r="O986" s="11"/>
      <c r="P986" s="11"/>
      <c r="Q986" s="11"/>
    </row>
    <row r="987" spans="1:17" x14ac:dyDescent="0.25">
      <c r="A987" s="8" t="str" cm="1">
        <f t="array" aca="1" ref="A987" ca="1">IF(INDIRECT("'Student_Record 1'!A" &amp; ROW())="", "", INDIRECT("'Student_Record 1'!A" &amp; ROW()))</f>
        <v/>
      </c>
      <c r="B987" s="8" t="str" cm="1">
        <f t="array" aca="1" ref="B987" ca="1">IF(INDIRECT("'Student_Record 1'!C" &amp; ROW())="", "", INDIRECT("'Student_Record 1'!C" &amp; ROW()))</f>
        <v/>
      </c>
      <c r="C987" s="8" t="str" cm="1">
        <f t="array" aca="1" ref="C987" ca="1">IF(INDIRECT("'Student_Record 1'!E" &amp; ROW())="", "", INDIRECT("'Student_Record 1'!E" &amp; ROW()))</f>
        <v/>
      </c>
      <c r="D987" s="8" t="str" cm="1">
        <f t="array" aca="1" ref="D987" ca="1">IF(INDIRECT("'Student_Record 1'!G" &amp; ROW())="", "", INDIRECT("'Student_Record 1'!G" &amp; ROW()))</f>
        <v/>
      </c>
      <c r="E987" s="8" t="str" cm="1">
        <f t="array" aca="1" ref="E987" ca="1">IF(INDIRECT("'Student_Record 1'!I" &amp; ROW())="", "", INDIRECT("'Student_Record 1'!I" &amp; ROW()))</f>
        <v/>
      </c>
      <c r="F987" s="8" t="str" cm="1">
        <f t="array" aca="1" ref="F987" ca="1">IF(INDIRECT("'Student_Record 1'!O" &amp; ROW())="", "", INDIRECT("'Student_Record 1'!O" &amp; ROW()))</f>
        <v/>
      </c>
      <c r="G987" s="11"/>
      <c r="I987" s="11"/>
      <c r="J987" s="11"/>
      <c r="K987" s="11"/>
      <c r="L987" s="11"/>
      <c r="M987" s="11"/>
      <c r="N987" s="11"/>
      <c r="O987" s="11"/>
      <c r="P987" s="11"/>
      <c r="Q987" s="11"/>
    </row>
    <row r="988" spans="1:17" x14ac:dyDescent="0.25">
      <c r="A988" s="8" t="str" cm="1">
        <f t="array" aca="1" ref="A988" ca="1">IF(INDIRECT("'Student_Record 1'!A" &amp; ROW())="", "", INDIRECT("'Student_Record 1'!A" &amp; ROW()))</f>
        <v/>
      </c>
      <c r="B988" s="8" t="str" cm="1">
        <f t="array" aca="1" ref="B988" ca="1">IF(INDIRECT("'Student_Record 1'!C" &amp; ROW())="", "", INDIRECT("'Student_Record 1'!C" &amp; ROW()))</f>
        <v/>
      </c>
      <c r="C988" s="8" t="str" cm="1">
        <f t="array" aca="1" ref="C988" ca="1">IF(INDIRECT("'Student_Record 1'!E" &amp; ROW())="", "", INDIRECT("'Student_Record 1'!E" &amp; ROW()))</f>
        <v/>
      </c>
      <c r="D988" s="8" t="str" cm="1">
        <f t="array" aca="1" ref="D988" ca="1">IF(INDIRECT("'Student_Record 1'!G" &amp; ROW())="", "", INDIRECT("'Student_Record 1'!G" &amp; ROW()))</f>
        <v/>
      </c>
      <c r="E988" s="8" t="str" cm="1">
        <f t="array" aca="1" ref="E988" ca="1">IF(INDIRECT("'Student_Record 1'!I" &amp; ROW())="", "", INDIRECT("'Student_Record 1'!I" &amp; ROW()))</f>
        <v/>
      </c>
      <c r="F988" s="8" t="str" cm="1">
        <f t="array" aca="1" ref="F988" ca="1">IF(INDIRECT("'Student_Record 1'!O" &amp; ROW())="", "", INDIRECT("'Student_Record 1'!O" &amp; ROW()))</f>
        <v/>
      </c>
      <c r="G988" s="11"/>
      <c r="I988" s="11"/>
      <c r="J988" s="11"/>
      <c r="K988" s="11"/>
      <c r="L988" s="11"/>
      <c r="M988" s="11"/>
      <c r="N988" s="11"/>
      <c r="O988" s="11"/>
      <c r="P988" s="11"/>
      <c r="Q988" s="11"/>
    </row>
    <row r="989" spans="1:17" x14ac:dyDescent="0.25">
      <c r="A989" s="8" t="str" cm="1">
        <f t="array" aca="1" ref="A989" ca="1">IF(INDIRECT("'Student_Record 1'!A" &amp; ROW())="", "", INDIRECT("'Student_Record 1'!A" &amp; ROW()))</f>
        <v/>
      </c>
      <c r="B989" s="8" t="str" cm="1">
        <f t="array" aca="1" ref="B989" ca="1">IF(INDIRECT("'Student_Record 1'!C" &amp; ROW())="", "", INDIRECT("'Student_Record 1'!C" &amp; ROW()))</f>
        <v/>
      </c>
      <c r="C989" s="8" t="str" cm="1">
        <f t="array" aca="1" ref="C989" ca="1">IF(INDIRECT("'Student_Record 1'!E" &amp; ROW())="", "", INDIRECT("'Student_Record 1'!E" &amp; ROW()))</f>
        <v/>
      </c>
      <c r="D989" s="8" t="str" cm="1">
        <f t="array" aca="1" ref="D989" ca="1">IF(INDIRECT("'Student_Record 1'!G" &amp; ROW())="", "", INDIRECT("'Student_Record 1'!G" &amp; ROW()))</f>
        <v/>
      </c>
      <c r="E989" s="8" t="str" cm="1">
        <f t="array" aca="1" ref="E989" ca="1">IF(INDIRECT("'Student_Record 1'!I" &amp; ROW())="", "", INDIRECT("'Student_Record 1'!I" &amp; ROW()))</f>
        <v/>
      </c>
      <c r="F989" s="8" t="str" cm="1">
        <f t="array" aca="1" ref="F989" ca="1">IF(INDIRECT("'Student_Record 1'!O" &amp; ROW())="", "", INDIRECT("'Student_Record 1'!O" &amp; ROW()))</f>
        <v/>
      </c>
      <c r="G989" s="11"/>
      <c r="I989" s="11"/>
      <c r="J989" s="11"/>
      <c r="K989" s="11"/>
      <c r="L989" s="11"/>
      <c r="M989" s="11"/>
      <c r="N989" s="11"/>
      <c r="O989" s="11"/>
      <c r="P989" s="11"/>
      <c r="Q989" s="11"/>
    </row>
    <row r="990" spans="1:17" x14ac:dyDescent="0.25">
      <c r="A990" s="8" t="str" cm="1">
        <f t="array" aca="1" ref="A990" ca="1">IF(INDIRECT("'Student_Record 1'!A" &amp; ROW())="", "", INDIRECT("'Student_Record 1'!A" &amp; ROW()))</f>
        <v/>
      </c>
      <c r="B990" s="8" t="str" cm="1">
        <f t="array" aca="1" ref="B990" ca="1">IF(INDIRECT("'Student_Record 1'!C" &amp; ROW())="", "", INDIRECT("'Student_Record 1'!C" &amp; ROW()))</f>
        <v/>
      </c>
      <c r="C990" s="8" t="str" cm="1">
        <f t="array" aca="1" ref="C990" ca="1">IF(INDIRECT("'Student_Record 1'!E" &amp; ROW())="", "", INDIRECT("'Student_Record 1'!E" &amp; ROW()))</f>
        <v/>
      </c>
      <c r="D990" s="8" t="str" cm="1">
        <f t="array" aca="1" ref="D990" ca="1">IF(INDIRECT("'Student_Record 1'!G" &amp; ROW())="", "", INDIRECT("'Student_Record 1'!G" &amp; ROW()))</f>
        <v/>
      </c>
      <c r="E990" s="8" t="str" cm="1">
        <f t="array" aca="1" ref="E990" ca="1">IF(INDIRECT("'Student_Record 1'!I" &amp; ROW())="", "", INDIRECT("'Student_Record 1'!I" &amp; ROW()))</f>
        <v/>
      </c>
      <c r="F990" s="8" t="str" cm="1">
        <f t="array" aca="1" ref="F990" ca="1">IF(INDIRECT("'Student_Record 1'!O" &amp; ROW())="", "", INDIRECT("'Student_Record 1'!O" &amp; ROW()))</f>
        <v/>
      </c>
      <c r="G990" s="11"/>
      <c r="I990" s="11"/>
      <c r="J990" s="11"/>
      <c r="K990" s="11"/>
      <c r="L990" s="11"/>
      <c r="M990" s="11"/>
      <c r="N990" s="11"/>
      <c r="O990" s="11"/>
      <c r="P990" s="11"/>
      <c r="Q990" s="11"/>
    </row>
    <row r="991" spans="1:17" x14ac:dyDescent="0.25">
      <c r="A991" s="8" t="str" cm="1">
        <f t="array" aca="1" ref="A991" ca="1">IF(INDIRECT("'Student_Record 1'!A" &amp; ROW())="", "", INDIRECT("'Student_Record 1'!A" &amp; ROW()))</f>
        <v/>
      </c>
      <c r="B991" s="8" t="str" cm="1">
        <f t="array" aca="1" ref="B991" ca="1">IF(INDIRECT("'Student_Record 1'!C" &amp; ROW())="", "", INDIRECT("'Student_Record 1'!C" &amp; ROW()))</f>
        <v/>
      </c>
      <c r="C991" s="8" t="str" cm="1">
        <f t="array" aca="1" ref="C991" ca="1">IF(INDIRECT("'Student_Record 1'!E" &amp; ROW())="", "", INDIRECT("'Student_Record 1'!E" &amp; ROW()))</f>
        <v/>
      </c>
      <c r="D991" s="8" t="str" cm="1">
        <f t="array" aca="1" ref="D991" ca="1">IF(INDIRECT("'Student_Record 1'!G" &amp; ROW())="", "", INDIRECT("'Student_Record 1'!G" &amp; ROW()))</f>
        <v/>
      </c>
      <c r="E991" s="8" t="str" cm="1">
        <f t="array" aca="1" ref="E991" ca="1">IF(INDIRECT("'Student_Record 1'!I" &amp; ROW())="", "", INDIRECT("'Student_Record 1'!I" &amp; ROW()))</f>
        <v/>
      </c>
      <c r="F991" s="8" t="str" cm="1">
        <f t="array" aca="1" ref="F991" ca="1">IF(INDIRECT("'Student_Record 1'!O" &amp; ROW())="", "", INDIRECT("'Student_Record 1'!O" &amp; ROW()))</f>
        <v/>
      </c>
      <c r="G991" s="11"/>
      <c r="I991" s="11"/>
      <c r="J991" s="11"/>
      <c r="K991" s="11"/>
      <c r="L991" s="11"/>
      <c r="M991" s="11"/>
      <c r="N991" s="11"/>
      <c r="O991" s="11"/>
      <c r="P991" s="11"/>
      <c r="Q991" s="11"/>
    </row>
    <row r="992" spans="1:17" x14ac:dyDescent="0.25">
      <c r="A992" s="8" t="str" cm="1">
        <f t="array" aca="1" ref="A992" ca="1">IF(INDIRECT("'Student_Record 1'!A" &amp; ROW())="", "", INDIRECT("'Student_Record 1'!A" &amp; ROW()))</f>
        <v/>
      </c>
      <c r="B992" s="8" t="str" cm="1">
        <f t="array" aca="1" ref="B992" ca="1">IF(INDIRECT("'Student_Record 1'!C" &amp; ROW())="", "", INDIRECT("'Student_Record 1'!C" &amp; ROW()))</f>
        <v/>
      </c>
      <c r="C992" s="8" t="str" cm="1">
        <f t="array" aca="1" ref="C992" ca="1">IF(INDIRECT("'Student_Record 1'!E" &amp; ROW())="", "", INDIRECT("'Student_Record 1'!E" &amp; ROW()))</f>
        <v/>
      </c>
      <c r="D992" s="8" t="str" cm="1">
        <f t="array" aca="1" ref="D992" ca="1">IF(INDIRECT("'Student_Record 1'!G" &amp; ROW())="", "", INDIRECT("'Student_Record 1'!G" &amp; ROW()))</f>
        <v/>
      </c>
      <c r="E992" s="8" t="str" cm="1">
        <f t="array" aca="1" ref="E992" ca="1">IF(INDIRECT("'Student_Record 1'!I" &amp; ROW())="", "", INDIRECT("'Student_Record 1'!I" &amp; ROW()))</f>
        <v/>
      </c>
      <c r="F992" s="8" t="str" cm="1">
        <f t="array" aca="1" ref="F992" ca="1">IF(INDIRECT("'Student_Record 1'!O" &amp; ROW())="", "", INDIRECT("'Student_Record 1'!O" &amp; ROW()))</f>
        <v/>
      </c>
      <c r="G992" s="11"/>
      <c r="I992" s="11"/>
      <c r="J992" s="11"/>
      <c r="K992" s="11"/>
      <c r="L992" s="11"/>
      <c r="M992" s="11"/>
      <c r="N992" s="11"/>
      <c r="O992" s="11"/>
      <c r="P992" s="11"/>
      <c r="Q992" s="11"/>
    </row>
    <row r="993" spans="1:17" x14ac:dyDescent="0.25">
      <c r="A993" s="8" t="str" cm="1">
        <f t="array" aca="1" ref="A993" ca="1">IF(INDIRECT("'Student_Record 1'!A" &amp; ROW())="", "", INDIRECT("'Student_Record 1'!A" &amp; ROW()))</f>
        <v/>
      </c>
      <c r="B993" s="8" t="str" cm="1">
        <f t="array" aca="1" ref="B993" ca="1">IF(INDIRECT("'Student_Record 1'!C" &amp; ROW())="", "", INDIRECT("'Student_Record 1'!C" &amp; ROW()))</f>
        <v/>
      </c>
      <c r="C993" s="8" t="str" cm="1">
        <f t="array" aca="1" ref="C993" ca="1">IF(INDIRECT("'Student_Record 1'!E" &amp; ROW())="", "", INDIRECT("'Student_Record 1'!E" &amp; ROW()))</f>
        <v/>
      </c>
      <c r="D993" s="8" t="str" cm="1">
        <f t="array" aca="1" ref="D993" ca="1">IF(INDIRECT("'Student_Record 1'!G" &amp; ROW())="", "", INDIRECT("'Student_Record 1'!G" &amp; ROW()))</f>
        <v/>
      </c>
      <c r="E993" s="8" t="str" cm="1">
        <f t="array" aca="1" ref="E993" ca="1">IF(INDIRECT("'Student_Record 1'!I" &amp; ROW())="", "", INDIRECT("'Student_Record 1'!I" &amp; ROW()))</f>
        <v/>
      </c>
      <c r="F993" s="8" t="str" cm="1">
        <f t="array" aca="1" ref="F993" ca="1">IF(INDIRECT("'Student_Record 1'!O" &amp; ROW())="", "", INDIRECT("'Student_Record 1'!O" &amp; ROW()))</f>
        <v/>
      </c>
      <c r="G993" s="11"/>
      <c r="I993" s="11"/>
      <c r="J993" s="11"/>
      <c r="K993" s="11"/>
      <c r="L993" s="11"/>
      <c r="M993" s="11"/>
      <c r="N993" s="11"/>
      <c r="O993" s="11"/>
      <c r="P993" s="11"/>
      <c r="Q993" s="11"/>
    </row>
    <row r="994" spans="1:17" x14ac:dyDescent="0.25">
      <c r="A994" s="8" t="str" cm="1">
        <f t="array" aca="1" ref="A994" ca="1">IF(INDIRECT("'Student_Record 1'!A" &amp; ROW())="", "", INDIRECT("'Student_Record 1'!A" &amp; ROW()))</f>
        <v/>
      </c>
      <c r="B994" s="8" t="str" cm="1">
        <f t="array" aca="1" ref="B994" ca="1">IF(INDIRECT("'Student_Record 1'!C" &amp; ROW())="", "", INDIRECT("'Student_Record 1'!C" &amp; ROW()))</f>
        <v/>
      </c>
      <c r="C994" s="8" t="str" cm="1">
        <f t="array" aca="1" ref="C994" ca="1">IF(INDIRECT("'Student_Record 1'!E" &amp; ROW())="", "", INDIRECT("'Student_Record 1'!E" &amp; ROW()))</f>
        <v/>
      </c>
      <c r="D994" s="8" t="str" cm="1">
        <f t="array" aca="1" ref="D994" ca="1">IF(INDIRECT("'Student_Record 1'!G" &amp; ROW())="", "", INDIRECT("'Student_Record 1'!G" &amp; ROW()))</f>
        <v/>
      </c>
      <c r="E994" s="8" t="str" cm="1">
        <f t="array" aca="1" ref="E994" ca="1">IF(INDIRECT("'Student_Record 1'!I" &amp; ROW())="", "", INDIRECT("'Student_Record 1'!I" &amp; ROW()))</f>
        <v/>
      </c>
      <c r="F994" s="8" t="str" cm="1">
        <f t="array" aca="1" ref="F994" ca="1">IF(INDIRECT("'Student_Record 1'!O" &amp; ROW())="", "", INDIRECT("'Student_Record 1'!O" &amp; ROW()))</f>
        <v/>
      </c>
      <c r="G994" s="11"/>
      <c r="I994" s="11"/>
      <c r="J994" s="11"/>
      <c r="K994" s="11"/>
      <c r="L994" s="11"/>
      <c r="M994" s="11"/>
      <c r="N994" s="11"/>
      <c r="O994" s="11"/>
      <c r="P994" s="11"/>
      <c r="Q994" s="11"/>
    </row>
    <row r="995" spans="1:17" x14ac:dyDescent="0.25">
      <c r="A995" s="8" t="str" cm="1">
        <f t="array" aca="1" ref="A995" ca="1">IF(INDIRECT("'Student_Record 1'!A" &amp; ROW())="", "", INDIRECT("'Student_Record 1'!A" &amp; ROW()))</f>
        <v/>
      </c>
      <c r="B995" s="8" t="str" cm="1">
        <f t="array" aca="1" ref="B995" ca="1">IF(INDIRECT("'Student_Record 1'!C" &amp; ROW())="", "", INDIRECT("'Student_Record 1'!C" &amp; ROW()))</f>
        <v/>
      </c>
      <c r="C995" s="8" t="str" cm="1">
        <f t="array" aca="1" ref="C995" ca="1">IF(INDIRECT("'Student_Record 1'!E" &amp; ROW())="", "", INDIRECT("'Student_Record 1'!E" &amp; ROW()))</f>
        <v/>
      </c>
      <c r="D995" s="8" t="str" cm="1">
        <f t="array" aca="1" ref="D995" ca="1">IF(INDIRECT("'Student_Record 1'!G" &amp; ROW())="", "", INDIRECT("'Student_Record 1'!G" &amp; ROW()))</f>
        <v/>
      </c>
      <c r="E995" s="8" t="str" cm="1">
        <f t="array" aca="1" ref="E995" ca="1">IF(INDIRECT("'Student_Record 1'!I" &amp; ROW())="", "", INDIRECT("'Student_Record 1'!I" &amp; ROW()))</f>
        <v/>
      </c>
      <c r="F995" s="8" t="str" cm="1">
        <f t="array" aca="1" ref="F995" ca="1">IF(INDIRECT("'Student_Record 1'!O" &amp; ROW())="", "", INDIRECT("'Student_Record 1'!O" &amp; ROW()))</f>
        <v/>
      </c>
      <c r="G995" s="11"/>
      <c r="I995" s="11"/>
      <c r="J995" s="11"/>
      <c r="K995" s="11"/>
      <c r="L995" s="11"/>
      <c r="M995" s="11"/>
      <c r="N995" s="11"/>
      <c r="O995" s="11"/>
      <c r="P995" s="11"/>
      <c r="Q995" s="11"/>
    </row>
    <row r="996" spans="1:17" x14ac:dyDescent="0.25">
      <c r="A996" s="8" t="str" cm="1">
        <f t="array" aca="1" ref="A996" ca="1">IF(INDIRECT("'Student_Record 1'!A" &amp; ROW())="", "", INDIRECT("'Student_Record 1'!A" &amp; ROW()))</f>
        <v/>
      </c>
      <c r="B996" s="8" t="str" cm="1">
        <f t="array" aca="1" ref="B996" ca="1">IF(INDIRECT("'Student_Record 1'!C" &amp; ROW())="", "", INDIRECT("'Student_Record 1'!C" &amp; ROW()))</f>
        <v/>
      </c>
      <c r="C996" s="8" t="str" cm="1">
        <f t="array" aca="1" ref="C996" ca="1">IF(INDIRECT("'Student_Record 1'!E" &amp; ROW())="", "", INDIRECT("'Student_Record 1'!E" &amp; ROW()))</f>
        <v/>
      </c>
      <c r="D996" s="8" t="str" cm="1">
        <f t="array" aca="1" ref="D996" ca="1">IF(INDIRECT("'Student_Record 1'!G" &amp; ROW())="", "", INDIRECT("'Student_Record 1'!G" &amp; ROW()))</f>
        <v/>
      </c>
      <c r="E996" s="8" t="str" cm="1">
        <f t="array" aca="1" ref="E996" ca="1">IF(INDIRECT("'Student_Record 1'!I" &amp; ROW())="", "", INDIRECT("'Student_Record 1'!I" &amp; ROW()))</f>
        <v/>
      </c>
      <c r="F996" s="8" t="str" cm="1">
        <f t="array" aca="1" ref="F996" ca="1">IF(INDIRECT("'Student_Record 1'!O" &amp; ROW())="", "", INDIRECT("'Student_Record 1'!O" &amp; ROW()))</f>
        <v/>
      </c>
      <c r="G996" s="11"/>
      <c r="I996" s="11"/>
      <c r="J996" s="11"/>
      <c r="K996" s="11"/>
      <c r="L996" s="11"/>
      <c r="M996" s="11"/>
      <c r="N996" s="11"/>
      <c r="O996" s="11"/>
      <c r="P996" s="11"/>
      <c r="Q996" s="11"/>
    </row>
    <row r="997" spans="1:17" x14ac:dyDescent="0.25">
      <c r="A997" s="8" t="str" cm="1">
        <f t="array" aca="1" ref="A997" ca="1">IF(INDIRECT("'Student_Record 1'!A" &amp; ROW())="", "", INDIRECT("'Student_Record 1'!A" &amp; ROW()))</f>
        <v/>
      </c>
      <c r="B997" s="8" t="str" cm="1">
        <f t="array" aca="1" ref="B997" ca="1">IF(INDIRECT("'Student_Record 1'!C" &amp; ROW())="", "", INDIRECT("'Student_Record 1'!C" &amp; ROW()))</f>
        <v/>
      </c>
      <c r="C997" s="8" t="str" cm="1">
        <f t="array" aca="1" ref="C997" ca="1">IF(INDIRECT("'Student_Record 1'!E" &amp; ROW())="", "", INDIRECT("'Student_Record 1'!E" &amp; ROW()))</f>
        <v/>
      </c>
      <c r="D997" s="8" t="str" cm="1">
        <f t="array" aca="1" ref="D997" ca="1">IF(INDIRECT("'Student_Record 1'!G" &amp; ROW())="", "", INDIRECT("'Student_Record 1'!G" &amp; ROW()))</f>
        <v/>
      </c>
      <c r="E997" s="8" t="str" cm="1">
        <f t="array" aca="1" ref="E997" ca="1">IF(INDIRECT("'Student_Record 1'!I" &amp; ROW())="", "", INDIRECT("'Student_Record 1'!I" &amp; ROW()))</f>
        <v/>
      </c>
      <c r="F997" s="8" t="str" cm="1">
        <f t="array" aca="1" ref="F997" ca="1">IF(INDIRECT("'Student_Record 1'!O" &amp; ROW())="", "", INDIRECT("'Student_Record 1'!O" &amp; ROW()))</f>
        <v/>
      </c>
      <c r="G997" s="11"/>
      <c r="I997" s="11"/>
      <c r="J997" s="11"/>
      <c r="K997" s="11"/>
      <c r="L997" s="11"/>
      <c r="M997" s="11"/>
      <c r="N997" s="11"/>
      <c r="O997" s="11"/>
      <c r="P997" s="11"/>
      <c r="Q997" s="11"/>
    </row>
    <row r="998" spans="1:17" x14ac:dyDescent="0.25">
      <c r="A998" s="8" t="str" cm="1">
        <f t="array" aca="1" ref="A998" ca="1">IF(INDIRECT("'Student_Record 1'!A" &amp; ROW())="", "", INDIRECT("'Student_Record 1'!A" &amp; ROW()))</f>
        <v/>
      </c>
      <c r="B998" s="8" t="str" cm="1">
        <f t="array" aca="1" ref="B998" ca="1">IF(INDIRECT("'Student_Record 1'!C" &amp; ROW())="", "", INDIRECT("'Student_Record 1'!C" &amp; ROW()))</f>
        <v/>
      </c>
      <c r="C998" s="8" t="str" cm="1">
        <f t="array" aca="1" ref="C998" ca="1">IF(INDIRECT("'Student_Record 1'!E" &amp; ROW())="", "", INDIRECT("'Student_Record 1'!E" &amp; ROW()))</f>
        <v/>
      </c>
      <c r="D998" s="8" t="str" cm="1">
        <f t="array" aca="1" ref="D998" ca="1">IF(INDIRECT("'Student_Record 1'!G" &amp; ROW())="", "", INDIRECT("'Student_Record 1'!G" &amp; ROW()))</f>
        <v/>
      </c>
      <c r="E998" s="8" t="str" cm="1">
        <f t="array" aca="1" ref="E998" ca="1">IF(INDIRECT("'Student_Record 1'!I" &amp; ROW())="", "", INDIRECT("'Student_Record 1'!I" &amp; ROW()))</f>
        <v/>
      </c>
      <c r="F998" s="8" t="str" cm="1">
        <f t="array" aca="1" ref="F998" ca="1">IF(INDIRECT("'Student_Record 1'!O" &amp; ROW())="", "", INDIRECT("'Student_Record 1'!O" &amp; ROW()))</f>
        <v/>
      </c>
      <c r="G998" s="11"/>
      <c r="I998" s="11"/>
      <c r="J998" s="11"/>
      <c r="K998" s="11"/>
      <c r="L998" s="11"/>
      <c r="M998" s="11"/>
      <c r="N998" s="11"/>
      <c r="O998" s="11"/>
      <c r="P998" s="11"/>
      <c r="Q998" s="11"/>
    </row>
    <row r="999" spans="1:17" x14ac:dyDescent="0.25">
      <c r="A999" s="8" t="str" cm="1">
        <f t="array" aca="1" ref="A999" ca="1">IF(INDIRECT("'Student_Record 1'!A" &amp; ROW())="", "", INDIRECT("'Student_Record 1'!A" &amp; ROW()))</f>
        <v/>
      </c>
      <c r="B999" s="8" t="str" cm="1">
        <f t="array" aca="1" ref="B999" ca="1">IF(INDIRECT("'Student_Record 1'!C" &amp; ROW())="", "", INDIRECT("'Student_Record 1'!C" &amp; ROW()))</f>
        <v/>
      </c>
      <c r="C999" s="8" t="str" cm="1">
        <f t="array" aca="1" ref="C999" ca="1">IF(INDIRECT("'Student_Record 1'!E" &amp; ROW())="", "", INDIRECT("'Student_Record 1'!E" &amp; ROW()))</f>
        <v/>
      </c>
      <c r="D999" s="8" t="str" cm="1">
        <f t="array" aca="1" ref="D999" ca="1">IF(INDIRECT("'Student_Record 1'!G" &amp; ROW())="", "", INDIRECT("'Student_Record 1'!G" &amp; ROW()))</f>
        <v/>
      </c>
      <c r="E999" s="8" t="str" cm="1">
        <f t="array" aca="1" ref="E999" ca="1">IF(INDIRECT("'Student_Record 1'!I" &amp; ROW())="", "", INDIRECT("'Student_Record 1'!I" &amp; ROW()))</f>
        <v/>
      </c>
      <c r="F999" s="8" t="str" cm="1">
        <f t="array" aca="1" ref="F999" ca="1">IF(INDIRECT("'Student_Record 1'!O" &amp; ROW())="", "", INDIRECT("'Student_Record 1'!O" &amp; ROW()))</f>
        <v/>
      </c>
      <c r="G999" s="11"/>
      <c r="I999" s="11"/>
      <c r="J999" s="11"/>
      <c r="K999" s="11"/>
      <c r="L999" s="11"/>
      <c r="M999" s="11"/>
      <c r="N999" s="11"/>
      <c r="O999" s="11"/>
      <c r="P999" s="11"/>
      <c r="Q999" s="11"/>
    </row>
    <row r="1000" spans="1:17" x14ac:dyDescent="0.25">
      <c r="A1000" s="8" t="str" cm="1">
        <f t="array" aca="1" ref="A1000" ca="1">IF(INDIRECT("'Student_Record 1'!A" &amp; ROW())="", "", INDIRECT("'Student_Record 1'!A" &amp; ROW()))</f>
        <v/>
      </c>
      <c r="B1000" s="8" t="str" cm="1">
        <f t="array" aca="1" ref="B1000" ca="1">IF(INDIRECT("'Student_Record 1'!C" &amp; ROW())="", "", INDIRECT("'Student_Record 1'!C" &amp; ROW()))</f>
        <v/>
      </c>
      <c r="C1000" s="8" t="str" cm="1">
        <f t="array" aca="1" ref="C1000" ca="1">IF(INDIRECT("'Student_Record 1'!E" &amp; ROW())="", "", INDIRECT("'Student_Record 1'!E" &amp; ROW()))</f>
        <v/>
      </c>
      <c r="D1000" s="8" t="str" cm="1">
        <f t="array" aca="1" ref="D1000" ca="1">IF(INDIRECT("'Student_Record 1'!G" &amp; ROW())="", "", INDIRECT("'Student_Record 1'!G" &amp; ROW()))</f>
        <v/>
      </c>
      <c r="E1000" s="8" t="str" cm="1">
        <f t="array" aca="1" ref="E1000" ca="1">IF(INDIRECT("'Student_Record 1'!I" &amp; ROW())="", "", INDIRECT("'Student_Record 1'!I" &amp; ROW()))</f>
        <v/>
      </c>
      <c r="F1000" s="8" t="str" cm="1">
        <f t="array" aca="1" ref="F1000" ca="1">IF(INDIRECT("'Student_Record 1'!O" &amp; ROW())="", "", INDIRECT("'Student_Record 1'!O" &amp; ROW()))</f>
        <v/>
      </c>
      <c r="G1000" s="11"/>
      <c r="I1000" s="11"/>
      <c r="J1000" s="11"/>
      <c r="K1000" s="11"/>
      <c r="L1000" s="11"/>
      <c r="M1000" s="11"/>
      <c r="N1000" s="11"/>
      <c r="O1000" s="11"/>
      <c r="P1000" s="11"/>
      <c r="Q1000" s="11"/>
    </row>
    <row r="1001" spans="1:17" x14ac:dyDescent="0.25">
      <c r="A1001" s="8" t="str" cm="1">
        <f t="array" aca="1" ref="A1001" ca="1">IF(INDIRECT("'Student_Record 1'!A" &amp; ROW())="", "", INDIRECT("'Student_Record 1'!A" &amp; ROW()))</f>
        <v/>
      </c>
      <c r="B1001" s="8" t="str" cm="1">
        <f t="array" aca="1" ref="B1001" ca="1">IF(INDIRECT("'Student_Record 1'!C" &amp; ROW())="", "", INDIRECT("'Student_Record 1'!C" &amp; ROW()))</f>
        <v/>
      </c>
      <c r="C1001" s="8" t="str" cm="1">
        <f t="array" aca="1" ref="C1001" ca="1">IF(INDIRECT("'Student_Record 1'!E" &amp; ROW())="", "", INDIRECT("'Student_Record 1'!E" &amp; ROW()))</f>
        <v/>
      </c>
      <c r="D1001" s="8" t="str" cm="1">
        <f t="array" aca="1" ref="D1001" ca="1">IF(INDIRECT("'Student_Record 1'!G" &amp; ROW())="", "", INDIRECT("'Student_Record 1'!G" &amp; ROW()))</f>
        <v/>
      </c>
      <c r="E1001" s="8" t="str" cm="1">
        <f t="array" aca="1" ref="E1001" ca="1">IF(INDIRECT("'Student_Record 1'!I" &amp; ROW())="", "", INDIRECT("'Student_Record 1'!I" &amp; ROW()))</f>
        <v/>
      </c>
      <c r="F1001" s="8" t="str" cm="1">
        <f t="array" aca="1" ref="F1001" ca="1">IF(INDIRECT("'Student_Record 1'!O" &amp; ROW())="", "", INDIRECT("'Student_Record 1'!O" &amp; ROW()))</f>
        <v/>
      </c>
      <c r="I1001" s="9"/>
      <c r="J1001" s="9"/>
      <c r="K1001" s="9"/>
      <c r="L1001" s="9"/>
      <c r="M1001" s="9"/>
      <c r="N1001" s="9"/>
      <c r="O1001" s="9"/>
      <c r="P1001" s="9"/>
      <c r="Q1001" s="9"/>
    </row>
    <row r="1002" spans="1:17" x14ac:dyDescent="0.25">
      <c r="A1002" s="8" t="str" cm="1">
        <f t="array" aca="1" ref="A1002" ca="1">IF(INDIRECT("'Student_Record 1'!A" &amp; ROW())="", "", INDIRECT("'Student_Record 1'!A" &amp; ROW()))</f>
        <v/>
      </c>
      <c r="B1002" s="8" t="str" cm="1">
        <f t="array" aca="1" ref="B1002" ca="1">IF(INDIRECT("'Student_Record 1'!C" &amp; ROW())="", "", INDIRECT("'Student_Record 1'!C" &amp; ROW()))</f>
        <v/>
      </c>
      <c r="C1002" s="8" t="str" cm="1">
        <f t="array" aca="1" ref="C1002" ca="1">IF(INDIRECT("'Student_Record 1'!E" &amp; ROW())="", "", INDIRECT("'Student_Record 1'!E" &amp; ROW()))</f>
        <v/>
      </c>
      <c r="D1002" s="8" t="str" cm="1">
        <f t="array" aca="1" ref="D1002" ca="1">IF(INDIRECT("'Student_Record 1'!G" &amp; ROW())="", "", INDIRECT("'Student_Record 1'!G" &amp; ROW()))</f>
        <v/>
      </c>
      <c r="E1002" s="8" t="str" cm="1">
        <f t="array" aca="1" ref="E1002" ca="1">IF(INDIRECT("'Student_Record 1'!I" &amp; ROW())="", "", INDIRECT("'Student_Record 1'!I" &amp; ROW()))</f>
        <v/>
      </c>
      <c r="F1002" s="8" t="str" cm="1">
        <f t="array" aca="1" ref="F1002" ca="1">IF(INDIRECT("'Student_Record 1'!O" &amp; ROW())="", "", INDIRECT("'Student_Record 1'!O" &amp; ROW()))</f>
        <v/>
      </c>
      <c r="I1002" s="9"/>
      <c r="J1002" s="9"/>
      <c r="K1002" s="9"/>
      <c r="L1002" s="9"/>
      <c r="M1002" s="9"/>
      <c r="N1002" s="9"/>
      <c r="O1002" s="9"/>
      <c r="P1002" s="9"/>
      <c r="Q1002" s="9"/>
    </row>
    <row r="1003" spans="1:17" x14ac:dyDescent="0.25">
      <c r="A1003" s="8" t="str" cm="1">
        <f t="array" aca="1" ref="A1003" ca="1">IF(INDIRECT("'Student_Record 1'!A" &amp; ROW())="", "", INDIRECT("'Student_Record 1'!A" &amp; ROW()))</f>
        <v/>
      </c>
      <c r="B1003" s="8" t="str" cm="1">
        <f t="array" aca="1" ref="B1003" ca="1">IF(INDIRECT("'Student_Record 1'!C" &amp; ROW())="", "", INDIRECT("'Student_Record 1'!C" &amp; ROW()))</f>
        <v/>
      </c>
      <c r="C1003" s="8" t="str" cm="1">
        <f t="array" aca="1" ref="C1003" ca="1">IF(INDIRECT("'Student_Record 1'!E" &amp; ROW())="", "", INDIRECT("'Student_Record 1'!E" &amp; ROW()))</f>
        <v/>
      </c>
      <c r="D1003" s="8" t="str" cm="1">
        <f t="array" aca="1" ref="D1003" ca="1">IF(INDIRECT("'Student_Record 1'!G" &amp; ROW())="", "", INDIRECT("'Student_Record 1'!G" &amp; ROW()))</f>
        <v/>
      </c>
      <c r="E1003" s="8" t="str" cm="1">
        <f t="array" aca="1" ref="E1003" ca="1">IF(INDIRECT("'Student_Record 1'!I" &amp; ROW())="", "", INDIRECT("'Student_Record 1'!I" &amp; ROW()))</f>
        <v/>
      </c>
      <c r="F1003" s="8" t="str" cm="1">
        <f t="array" aca="1" ref="F1003" ca="1">IF(INDIRECT("'Student_Record 1'!O" &amp; ROW())="", "", INDIRECT("'Student_Record 1'!O" &amp; ROW()))</f>
        <v/>
      </c>
      <c r="I1003" s="9"/>
      <c r="J1003" s="9"/>
      <c r="K1003" s="9"/>
      <c r="L1003" s="9"/>
      <c r="M1003" s="9"/>
      <c r="N1003" s="9"/>
      <c r="O1003" s="9"/>
      <c r="P1003" s="9"/>
      <c r="Q1003" s="9"/>
    </row>
    <row r="1004" spans="1:17" x14ac:dyDescent="0.25">
      <c r="A1004" s="8" t="str" cm="1">
        <f t="array" aca="1" ref="A1004" ca="1">IF(INDIRECT("'Student_Record 1'!A" &amp; ROW())="", "", INDIRECT("'Student_Record 1'!A" &amp; ROW()))</f>
        <v/>
      </c>
      <c r="B1004" s="8" t="str" cm="1">
        <f t="array" aca="1" ref="B1004" ca="1">IF(INDIRECT("'Student_Record 1'!C" &amp; ROW())="", "", INDIRECT("'Student_Record 1'!C" &amp; ROW()))</f>
        <v/>
      </c>
      <c r="C1004" s="8" t="str" cm="1">
        <f t="array" aca="1" ref="C1004" ca="1">IF(INDIRECT("'Student_Record 1'!E" &amp; ROW())="", "", INDIRECT("'Student_Record 1'!E" &amp; ROW()))</f>
        <v/>
      </c>
      <c r="D1004" s="8" t="str" cm="1">
        <f t="array" aca="1" ref="D1004" ca="1">IF(INDIRECT("'Student_Record 1'!G" &amp; ROW())="", "", INDIRECT("'Student_Record 1'!G" &amp; ROW()))</f>
        <v/>
      </c>
      <c r="E1004" s="8" t="str" cm="1">
        <f t="array" aca="1" ref="E1004" ca="1">IF(INDIRECT("'Student_Record 1'!I" &amp; ROW())="", "", INDIRECT("'Student_Record 1'!I" &amp; ROW()))</f>
        <v/>
      </c>
      <c r="F1004" s="8" t="str" cm="1">
        <f t="array" aca="1" ref="F1004" ca="1">IF(INDIRECT("'Student_Record 1'!O" &amp; ROW())="", "", INDIRECT("'Student_Record 1'!O" &amp; ROW()))</f>
        <v/>
      </c>
      <c r="I1004" s="9"/>
      <c r="J1004" s="9"/>
      <c r="K1004" s="9"/>
      <c r="L1004" s="9"/>
      <c r="M1004" s="9"/>
      <c r="N1004" s="9"/>
      <c r="O1004" s="9"/>
      <c r="P1004" s="9"/>
      <c r="Q1004" s="9"/>
    </row>
    <row r="1005" spans="1:17" x14ac:dyDescent="0.25">
      <c r="A1005" s="8" t="str" cm="1">
        <f t="array" aca="1" ref="A1005" ca="1">IF(INDIRECT("'Student_Record 1'!A" &amp; ROW())="", "", INDIRECT("'Student_Record 1'!A" &amp; ROW()))</f>
        <v/>
      </c>
      <c r="B1005" s="8" t="str" cm="1">
        <f t="array" aca="1" ref="B1005" ca="1">IF(INDIRECT("'Student_Record 1'!C" &amp; ROW())="", "", INDIRECT("'Student_Record 1'!C" &amp; ROW()))</f>
        <v/>
      </c>
      <c r="C1005" s="8" t="str" cm="1">
        <f t="array" aca="1" ref="C1005" ca="1">IF(INDIRECT("'Student_Record 1'!E" &amp; ROW())="", "", INDIRECT("'Student_Record 1'!E" &amp; ROW()))</f>
        <v/>
      </c>
      <c r="D1005" s="8" t="str" cm="1">
        <f t="array" aca="1" ref="D1005" ca="1">IF(INDIRECT("'Student_Record 1'!G" &amp; ROW())="", "", INDIRECT("'Student_Record 1'!G" &amp; ROW()))</f>
        <v/>
      </c>
      <c r="E1005" s="8" t="str" cm="1">
        <f t="array" aca="1" ref="E1005" ca="1">IF(INDIRECT("'Student_Record 1'!I" &amp; ROW())="", "", INDIRECT("'Student_Record 1'!I" &amp; ROW()))</f>
        <v/>
      </c>
      <c r="F1005" s="8" t="str" cm="1">
        <f t="array" aca="1" ref="F1005" ca="1">IF(INDIRECT("'Student_Record 1'!O" &amp; ROW())="", "", INDIRECT("'Student_Record 1'!O" &amp; ROW()))</f>
        <v/>
      </c>
      <c r="I1005" s="9"/>
      <c r="J1005" s="9"/>
      <c r="K1005" s="9"/>
      <c r="L1005" s="9"/>
      <c r="M1005" s="9"/>
      <c r="N1005" s="9"/>
      <c r="O1005" s="9"/>
      <c r="P1005" s="9"/>
      <c r="Q1005" s="9"/>
    </row>
    <row r="1006" spans="1:17" x14ac:dyDescent="0.25">
      <c r="A1006" s="8" t="str" cm="1">
        <f t="array" aca="1" ref="A1006" ca="1">IF(INDIRECT("'Student_Record 1'!A" &amp; ROW())="", "", INDIRECT("'Student_Record 1'!A" &amp; ROW()))</f>
        <v/>
      </c>
      <c r="B1006" s="8" t="str" cm="1">
        <f t="array" aca="1" ref="B1006" ca="1">IF(INDIRECT("'Student_Record 1'!C" &amp; ROW())="", "", INDIRECT("'Student_Record 1'!C" &amp; ROW()))</f>
        <v/>
      </c>
      <c r="C1006" s="8" t="str" cm="1">
        <f t="array" aca="1" ref="C1006" ca="1">IF(INDIRECT("'Student_Record 1'!E" &amp; ROW())="", "", INDIRECT("'Student_Record 1'!E" &amp; ROW()))</f>
        <v/>
      </c>
      <c r="D1006" s="8" t="str" cm="1">
        <f t="array" aca="1" ref="D1006" ca="1">IF(INDIRECT("'Student_Record 1'!G" &amp; ROW())="", "", INDIRECT("'Student_Record 1'!G" &amp; ROW()))</f>
        <v/>
      </c>
      <c r="E1006" s="8" t="str" cm="1">
        <f t="array" aca="1" ref="E1006" ca="1">IF(INDIRECT("'Student_Record 1'!I" &amp; ROW())="", "", INDIRECT("'Student_Record 1'!I" &amp; ROW()))</f>
        <v/>
      </c>
      <c r="F1006" s="8" t="str" cm="1">
        <f t="array" aca="1" ref="F1006" ca="1">IF(INDIRECT("'Student_Record 1'!O" &amp; ROW())="", "", INDIRECT("'Student_Record 1'!O" &amp; ROW()))</f>
        <v/>
      </c>
      <c r="I1006" s="9"/>
      <c r="J1006" s="9"/>
      <c r="K1006" s="9"/>
      <c r="L1006" s="9"/>
      <c r="M1006" s="9"/>
      <c r="N1006" s="9"/>
      <c r="O1006" s="9"/>
      <c r="P1006" s="9"/>
      <c r="Q1006" s="9"/>
    </row>
    <row r="1007" spans="1:17" x14ac:dyDescent="0.25">
      <c r="A1007" s="8" t="str" cm="1">
        <f t="array" aca="1" ref="A1007" ca="1">IF(INDIRECT("'Student_Record 1'!A" &amp; ROW())="", "", INDIRECT("'Student_Record 1'!A" &amp; ROW()))</f>
        <v/>
      </c>
      <c r="B1007" s="8" t="str" cm="1">
        <f t="array" aca="1" ref="B1007" ca="1">IF(INDIRECT("'Student_Record 1'!C" &amp; ROW())="", "", INDIRECT("'Student_Record 1'!C" &amp; ROW()))</f>
        <v/>
      </c>
      <c r="C1007" s="8" t="str" cm="1">
        <f t="array" aca="1" ref="C1007" ca="1">IF(INDIRECT("'Student_Record 1'!E" &amp; ROW())="", "", INDIRECT("'Student_Record 1'!E" &amp; ROW()))</f>
        <v/>
      </c>
      <c r="D1007" s="8" t="str" cm="1">
        <f t="array" aca="1" ref="D1007" ca="1">IF(INDIRECT("'Student_Record 1'!G" &amp; ROW())="", "", INDIRECT("'Student_Record 1'!G" &amp; ROW()))</f>
        <v/>
      </c>
      <c r="E1007" s="8" t="str" cm="1">
        <f t="array" aca="1" ref="E1007" ca="1">IF(INDIRECT("'Student_Record 1'!I" &amp; ROW())="", "", INDIRECT("'Student_Record 1'!I" &amp; ROW()))</f>
        <v/>
      </c>
      <c r="F1007" s="8" t="str" cm="1">
        <f t="array" aca="1" ref="F1007" ca="1">IF(INDIRECT("'Student_Record 1'!O" &amp; ROW())="", "", INDIRECT("'Student_Record 1'!O" &amp; ROW()))</f>
        <v/>
      </c>
      <c r="I1007" s="9"/>
      <c r="J1007" s="9"/>
      <c r="K1007" s="9"/>
      <c r="L1007" s="9"/>
      <c r="M1007" s="9"/>
      <c r="N1007" s="9"/>
      <c r="O1007" s="9"/>
      <c r="P1007" s="9"/>
      <c r="Q1007" s="9"/>
    </row>
    <row r="1008" spans="1:17" x14ac:dyDescent="0.25">
      <c r="A1008" s="8" t="str" cm="1">
        <f t="array" aca="1" ref="A1008" ca="1">IF(INDIRECT("'Student_Record 1'!A" &amp; ROW())="", "", INDIRECT("'Student_Record 1'!A" &amp; ROW()))</f>
        <v/>
      </c>
      <c r="B1008" s="8" t="str" cm="1">
        <f t="array" aca="1" ref="B1008" ca="1">IF(INDIRECT("'Student_Record 1'!C" &amp; ROW())="", "", INDIRECT("'Student_Record 1'!C" &amp; ROW()))</f>
        <v/>
      </c>
      <c r="C1008" s="8" t="str" cm="1">
        <f t="array" aca="1" ref="C1008" ca="1">IF(INDIRECT("'Student_Record 1'!E" &amp; ROW())="", "", INDIRECT("'Student_Record 1'!E" &amp; ROW()))</f>
        <v/>
      </c>
      <c r="D1008" s="8" t="str" cm="1">
        <f t="array" aca="1" ref="D1008" ca="1">IF(INDIRECT("'Student_Record 1'!G" &amp; ROW())="", "", INDIRECT("'Student_Record 1'!G" &amp; ROW()))</f>
        <v/>
      </c>
      <c r="E1008" s="8" t="str" cm="1">
        <f t="array" aca="1" ref="E1008" ca="1">IF(INDIRECT("'Student_Record 1'!I" &amp; ROW())="", "", INDIRECT("'Student_Record 1'!I" &amp; ROW()))</f>
        <v/>
      </c>
      <c r="F1008" s="8" t="str" cm="1">
        <f t="array" aca="1" ref="F1008" ca="1">IF(INDIRECT("'Student_Record 1'!O" &amp; ROW())="", "", INDIRECT("'Student_Record 1'!O" &amp; ROW()))</f>
        <v/>
      </c>
      <c r="I1008" s="9"/>
      <c r="J1008" s="9"/>
      <c r="K1008" s="9"/>
      <c r="L1008" s="9"/>
      <c r="M1008" s="9"/>
      <c r="N1008" s="9"/>
      <c r="O1008" s="9"/>
      <c r="P1008" s="9"/>
      <c r="Q1008" s="9"/>
    </row>
    <row r="1009" spans="1:17" x14ac:dyDescent="0.25">
      <c r="A1009" s="8" t="str" cm="1">
        <f t="array" aca="1" ref="A1009" ca="1">IF(INDIRECT("'Student_Record 1'!A" &amp; ROW())="", "", INDIRECT("'Student_Record 1'!A" &amp; ROW()))</f>
        <v/>
      </c>
      <c r="B1009" s="8" t="str" cm="1">
        <f t="array" aca="1" ref="B1009" ca="1">IF(INDIRECT("'Student_Record 1'!C" &amp; ROW())="", "", INDIRECT("'Student_Record 1'!C" &amp; ROW()))</f>
        <v/>
      </c>
      <c r="C1009" s="8" t="str" cm="1">
        <f t="array" aca="1" ref="C1009" ca="1">IF(INDIRECT("'Student_Record 1'!E" &amp; ROW())="", "", INDIRECT("'Student_Record 1'!E" &amp; ROW()))</f>
        <v/>
      </c>
      <c r="D1009" s="8" t="str" cm="1">
        <f t="array" aca="1" ref="D1009" ca="1">IF(INDIRECT("'Student_Record 1'!G" &amp; ROW())="", "", INDIRECT("'Student_Record 1'!G" &amp; ROW()))</f>
        <v/>
      </c>
      <c r="E1009" s="8" t="str" cm="1">
        <f t="array" aca="1" ref="E1009" ca="1">IF(INDIRECT("'Student_Record 1'!I" &amp; ROW())="", "", INDIRECT("'Student_Record 1'!I" &amp; ROW()))</f>
        <v/>
      </c>
      <c r="F1009" s="8" t="str" cm="1">
        <f t="array" aca="1" ref="F1009" ca="1">IF(INDIRECT("'Student_Record 1'!O" &amp; ROW())="", "", INDIRECT("'Student_Record 1'!O" &amp; ROW()))</f>
        <v/>
      </c>
      <c r="I1009" s="9"/>
      <c r="J1009" s="9"/>
      <c r="K1009" s="9"/>
      <c r="L1009" s="9"/>
      <c r="M1009" s="9"/>
      <c r="N1009" s="9"/>
      <c r="O1009" s="9"/>
      <c r="P1009" s="9"/>
      <c r="Q1009" s="9"/>
    </row>
    <row r="1010" spans="1:17" x14ac:dyDescent="0.25">
      <c r="A1010" s="8" t="str" cm="1">
        <f t="array" aca="1" ref="A1010" ca="1">IF(INDIRECT("'Student_Record 1'!A" &amp; ROW())="", "", INDIRECT("'Student_Record 1'!A" &amp; ROW()))</f>
        <v/>
      </c>
      <c r="B1010" s="8" t="str" cm="1">
        <f t="array" aca="1" ref="B1010" ca="1">IF(INDIRECT("'Student_Record 1'!C" &amp; ROW())="", "", INDIRECT("'Student_Record 1'!C" &amp; ROW()))</f>
        <v/>
      </c>
      <c r="C1010" s="8" t="str" cm="1">
        <f t="array" aca="1" ref="C1010" ca="1">IF(INDIRECT("'Student_Record 1'!E" &amp; ROW())="", "", INDIRECT("'Student_Record 1'!E" &amp; ROW()))</f>
        <v/>
      </c>
      <c r="D1010" s="8" t="str" cm="1">
        <f t="array" aca="1" ref="D1010" ca="1">IF(INDIRECT("'Student_Record 1'!G" &amp; ROW())="", "", INDIRECT("'Student_Record 1'!G" &amp; ROW()))</f>
        <v/>
      </c>
      <c r="E1010" s="8" t="str" cm="1">
        <f t="array" aca="1" ref="E1010" ca="1">IF(INDIRECT("'Student_Record 1'!I" &amp; ROW())="", "", INDIRECT("'Student_Record 1'!I" &amp; ROW()))</f>
        <v/>
      </c>
      <c r="F1010" s="8" t="str" cm="1">
        <f t="array" aca="1" ref="F1010" ca="1">IF(INDIRECT("'Student_Record 1'!O" &amp; ROW())="", "", INDIRECT("'Student_Record 1'!O" &amp; ROW()))</f>
        <v/>
      </c>
      <c r="I1010" s="9"/>
      <c r="J1010" s="9"/>
      <c r="K1010" s="9"/>
      <c r="L1010" s="9"/>
      <c r="M1010" s="9"/>
      <c r="N1010" s="9"/>
      <c r="O1010" s="9"/>
      <c r="P1010" s="9"/>
      <c r="Q1010" s="9"/>
    </row>
    <row r="1011" spans="1:17" x14ac:dyDescent="0.25">
      <c r="A1011" s="8" t="str" cm="1">
        <f t="array" aca="1" ref="A1011" ca="1">IF(INDIRECT("'Student_Record 1'!A" &amp; ROW())="", "", INDIRECT("'Student_Record 1'!A" &amp; ROW()))</f>
        <v/>
      </c>
      <c r="B1011" s="8" t="str" cm="1">
        <f t="array" aca="1" ref="B1011" ca="1">IF(INDIRECT("'Student_Record 1'!C" &amp; ROW())="", "", INDIRECT("'Student_Record 1'!C" &amp; ROW()))</f>
        <v/>
      </c>
      <c r="C1011" s="8" t="str" cm="1">
        <f t="array" aca="1" ref="C1011" ca="1">IF(INDIRECT("'Student_Record 1'!E" &amp; ROW())="", "", INDIRECT("'Student_Record 1'!E" &amp; ROW()))</f>
        <v/>
      </c>
      <c r="D1011" s="8" t="str" cm="1">
        <f t="array" aca="1" ref="D1011" ca="1">IF(INDIRECT("'Student_Record 1'!G" &amp; ROW())="", "", INDIRECT("'Student_Record 1'!G" &amp; ROW()))</f>
        <v/>
      </c>
      <c r="E1011" s="8" t="str" cm="1">
        <f t="array" aca="1" ref="E1011" ca="1">IF(INDIRECT("'Student_Record 1'!I" &amp; ROW())="", "", INDIRECT("'Student_Record 1'!I" &amp; ROW()))</f>
        <v/>
      </c>
      <c r="F1011" s="8" t="str" cm="1">
        <f t="array" aca="1" ref="F1011" ca="1">IF(INDIRECT("'Student_Record 1'!O" &amp; ROW())="", "", INDIRECT("'Student_Record 1'!O" &amp; ROW()))</f>
        <v/>
      </c>
      <c r="I1011" s="9"/>
      <c r="J1011" s="9"/>
      <c r="K1011" s="9"/>
      <c r="L1011" s="9"/>
      <c r="M1011" s="9"/>
      <c r="N1011" s="9"/>
      <c r="O1011" s="9"/>
      <c r="P1011" s="9"/>
      <c r="Q1011" s="9"/>
    </row>
    <row r="1012" spans="1:17" x14ac:dyDescent="0.25">
      <c r="A1012" s="8" t="str" cm="1">
        <f t="array" aca="1" ref="A1012" ca="1">IF(INDIRECT("'Student_Record 1'!A" &amp; ROW())="", "", INDIRECT("'Student_Record 1'!A" &amp; ROW()))</f>
        <v/>
      </c>
      <c r="B1012" s="8" t="str" cm="1">
        <f t="array" aca="1" ref="B1012" ca="1">IF(INDIRECT("'Student_Record 1'!C" &amp; ROW())="", "", INDIRECT("'Student_Record 1'!C" &amp; ROW()))</f>
        <v/>
      </c>
      <c r="C1012" s="8" t="str" cm="1">
        <f t="array" aca="1" ref="C1012" ca="1">IF(INDIRECT("'Student_Record 1'!E" &amp; ROW())="", "", INDIRECT("'Student_Record 1'!E" &amp; ROW()))</f>
        <v/>
      </c>
      <c r="D1012" s="8" t="str" cm="1">
        <f t="array" aca="1" ref="D1012" ca="1">IF(INDIRECT("'Student_Record 1'!G" &amp; ROW())="", "", INDIRECT("'Student_Record 1'!G" &amp; ROW()))</f>
        <v/>
      </c>
      <c r="E1012" s="8" t="str" cm="1">
        <f t="array" aca="1" ref="E1012" ca="1">IF(INDIRECT("'Student_Record 1'!I" &amp; ROW())="", "", INDIRECT("'Student_Record 1'!I" &amp; ROW()))</f>
        <v/>
      </c>
      <c r="F1012" s="8" t="str" cm="1">
        <f t="array" aca="1" ref="F1012" ca="1">IF(INDIRECT("'Student_Record 1'!O" &amp; ROW())="", "", INDIRECT("'Student_Record 1'!O" &amp; ROW()))</f>
        <v/>
      </c>
      <c r="I1012" s="9"/>
      <c r="J1012" s="9"/>
      <c r="K1012" s="9"/>
      <c r="L1012" s="9"/>
      <c r="M1012" s="9"/>
      <c r="N1012" s="9"/>
      <c r="O1012" s="9"/>
      <c r="P1012" s="9"/>
      <c r="Q1012" s="9"/>
    </row>
    <row r="1013" spans="1:17" x14ac:dyDescent="0.25">
      <c r="A1013" s="8" t="str" cm="1">
        <f t="array" aca="1" ref="A1013" ca="1">IF(INDIRECT("'Student_Record 1'!A" &amp; ROW())="", "", INDIRECT("'Student_Record 1'!A" &amp; ROW()))</f>
        <v/>
      </c>
      <c r="B1013" s="8" t="str" cm="1">
        <f t="array" aca="1" ref="B1013" ca="1">IF(INDIRECT("'Student_Record 1'!C" &amp; ROW())="", "", INDIRECT("'Student_Record 1'!C" &amp; ROW()))</f>
        <v/>
      </c>
      <c r="C1013" s="8" t="str" cm="1">
        <f t="array" aca="1" ref="C1013" ca="1">IF(INDIRECT("'Student_Record 1'!E" &amp; ROW())="", "", INDIRECT("'Student_Record 1'!E" &amp; ROW()))</f>
        <v/>
      </c>
      <c r="D1013" s="8" t="str" cm="1">
        <f t="array" aca="1" ref="D1013" ca="1">IF(INDIRECT("'Student_Record 1'!G" &amp; ROW())="", "", INDIRECT("'Student_Record 1'!G" &amp; ROW()))</f>
        <v/>
      </c>
      <c r="E1013" s="8" t="str" cm="1">
        <f t="array" aca="1" ref="E1013" ca="1">IF(INDIRECT("'Student_Record 1'!I" &amp; ROW())="", "", INDIRECT("'Student_Record 1'!I" &amp; ROW()))</f>
        <v/>
      </c>
      <c r="F1013" s="8" t="str" cm="1">
        <f t="array" aca="1" ref="F1013" ca="1">IF(INDIRECT("'Student_Record 1'!O" &amp; ROW())="", "", INDIRECT("'Student_Record 1'!O" &amp; ROW()))</f>
        <v/>
      </c>
      <c r="I1013" s="9"/>
      <c r="J1013" s="9"/>
      <c r="K1013" s="9"/>
      <c r="L1013" s="9"/>
      <c r="M1013" s="9"/>
      <c r="N1013" s="9"/>
      <c r="O1013" s="9"/>
      <c r="P1013" s="9"/>
      <c r="Q1013" s="9"/>
    </row>
    <row r="1014" spans="1:17" x14ac:dyDescent="0.25">
      <c r="A1014" s="8" t="str" cm="1">
        <f t="array" aca="1" ref="A1014" ca="1">IF(INDIRECT("'Student_Record 1'!A" &amp; ROW())="", "", INDIRECT("'Student_Record 1'!A" &amp; ROW()))</f>
        <v/>
      </c>
      <c r="B1014" s="8" t="str" cm="1">
        <f t="array" aca="1" ref="B1014" ca="1">IF(INDIRECT("'Student_Record 1'!C" &amp; ROW())="", "", INDIRECT("'Student_Record 1'!C" &amp; ROW()))</f>
        <v/>
      </c>
      <c r="C1014" s="8" t="str" cm="1">
        <f t="array" aca="1" ref="C1014" ca="1">IF(INDIRECT("'Student_Record 1'!E" &amp; ROW())="", "", INDIRECT("'Student_Record 1'!E" &amp; ROW()))</f>
        <v/>
      </c>
      <c r="D1014" s="8" t="str" cm="1">
        <f t="array" aca="1" ref="D1014" ca="1">IF(INDIRECT("'Student_Record 1'!G" &amp; ROW())="", "", INDIRECT("'Student_Record 1'!G" &amp; ROW()))</f>
        <v/>
      </c>
      <c r="E1014" s="8" t="str" cm="1">
        <f t="array" aca="1" ref="E1014" ca="1">IF(INDIRECT("'Student_Record 1'!I" &amp; ROW())="", "", INDIRECT("'Student_Record 1'!I" &amp; ROW()))</f>
        <v/>
      </c>
      <c r="F1014" s="8" t="str" cm="1">
        <f t="array" aca="1" ref="F1014" ca="1">IF(INDIRECT("'Student_Record 1'!O" &amp; ROW())="", "", INDIRECT("'Student_Record 1'!O" &amp; ROW()))</f>
        <v/>
      </c>
      <c r="I1014" s="9"/>
      <c r="J1014" s="9"/>
      <c r="K1014" s="9"/>
      <c r="L1014" s="9"/>
      <c r="M1014" s="9"/>
      <c r="N1014" s="9"/>
      <c r="O1014" s="9"/>
      <c r="P1014" s="9"/>
      <c r="Q1014" s="9"/>
    </row>
    <row r="1015" spans="1:17" x14ac:dyDescent="0.25">
      <c r="A1015" s="8" t="str" cm="1">
        <f t="array" aca="1" ref="A1015" ca="1">IF(INDIRECT("'Student_Record 1'!A" &amp; ROW())="", "", INDIRECT("'Student_Record 1'!A" &amp; ROW()))</f>
        <v/>
      </c>
      <c r="B1015" s="8" t="str" cm="1">
        <f t="array" aca="1" ref="B1015" ca="1">IF(INDIRECT("'Student_Record 1'!C" &amp; ROW())="", "", INDIRECT("'Student_Record 1'!C" &amp; ROW()))</f>
        <v/>
      </c>
      <c r="C1015" s="8" t="str" cm="1">
        <f t="array" aca="1" ref="C1015" ca="1">IF(INDIRECT("'Student_Record 1'!E" &amp; ROW())="", "", INDIRECT("'Student_Record 1'!E" &amp; ROW()))</f>
        <v/>
      </c>
      <c r="D1015" s="8" t="str" cm="1">
        <f t="array" aca="1" ref="D1015" ca="1">IF(INDIRECT("'Student_Record 1'!G" &amp; ROW())="", "", INDIRECT("'Student_Record 1'!G" &amp; ROW()))</f>
        <v/>
      </c>
      <c r="E1015" s="8" t="str" cm="1">
        <f t="array" aca="1" ref="E1015" ca="1">IF(INDIRECT("'Student_Record 1'!I" &amp; ROW())="", "", INDIRECT("'Student_Record 1'!I" &amp; ROW()))</f>
        <v/>
      </c>
      <c r="F1015" s="8" t="str" cm="1">
        <f t="array" aca="1" ref="F1015" ca="1">IF(INDIRECT("'Student_Record 1'!O" &amp; ROW())="", "", INDIRECT("'Student_Record 1'!O" &amp; ROW()))</f>
        <v/>
      </c>
      <c r="I1015" s="9"/>
      <c r="J1015" s="9"/>
      <c r="K1015" s="9"/>
      <c r="L1015" s="9"/>
      <c r="M1015" s="9"/>
      <c r="N1015" s="9"/>
      <c r="O1015" s="9"/>
      <c r="P1015" s="9"/>
      <c r="Q1015" s="9"/>
    </row>
    <row r="1016" spans="1:17" x14ac:dyDescent="0.25">
      <c r="A1016" s="8" t="str" cm="1">
        <f t="array" aca="1" ref="A1016" ca="1">IF(INDIRECT("'Student_Record 1'!A" &amp; ROW())="", "", INDIRECT("'Student_Record 1'!A" &amp; ROW()))</f>
        <v/>
      </c>
      <c r="B1016" s="8" t="str" cm="1">
        <f t="array" aca="1" ref="B1016" ca="1">IF(INDIRECT("'Student_Record 1'!C" &amp; ROW())="", "", INDIRECT("'Student_Record 1'!C" &amp; ROW()))</f>
        <v/>
      </c>
      <c r="C1016" s="8" t="str" cm="1">
        <f t="array" aca="1" ref="C1016" ca="1">IF(INDIRECT("'Student_Record 1'!E" &amp; ROW())="", "", INDIRECT("'Student_Record 1'!E" &amp; ROW()))</f>
        <v/>
      </c>
      <c r="D1016" s="8" t="str" cm="1">
        <f t="array" aca="1" ref="D1016" ca="1">IF(INDIRECT("'Student_Record 1'!G" &amp; ROW())="", "", INDIRECT("'Student_Record 1'!G" &amp; ROW()))</f>
        <v/>
      </c>
      <c r="E1016" s="8" t="str" cm="1">
        <f t="array" aca="1" ref="E1016" ca="1">IF(INDIRECT("'Student_Record 1'!I" &amp; ROW())="", "", INDIRECT("'Student_Record 1'!I" &amp; ROW()))</f>
        <v/>
      </c>
      <c r="F1016" s="8" t="str" cm="1">
        <f t="array" aca="1" ref="F1016" ca="1">IF(INDIRECT("'Student_Record 1'!O" &amp; ROW())="", "", INDIRECT("'Student_Record 1'!O" &amp; ROW()))</f>
        <v/>
      </c>
      <c r="I1016" s="9"/>
      <c r="J1016" s="9"/>
      <c r="K1016" s="9"/>
      <c r="L1016" s="9"/>
      <c r="M1016" s="9"/>
      <c r="N1016" s="9"/>
      <c r="O1016" s="9"/>
      <c r="P1016" s="9"/>
      <c r="Q1016" s="9"/>
    </row>
    <row r="1017" spans="1:17" x14ac:dyDescent="0.25">
      <c r="A1017" s="8" t="str" cm="1">
        <f t="array" aca="1" ref="A1017" ca="1">IF(INDIRECT("'Student_Record 1'!A" &amp; ROW())="", "", INDIRECT("'Student_Record 1'!A" &amp; ROW()))</f>
        <v/>
      </c>
      <c r="B1017" s="8" t="str" cm="1">
        <f t="array" aca="1" ref="B1017" ca="1">IF(INDIRECT("'Student_Record 1'!C" &amp; ROW())="", "", INDIRECT("'Student_Record 1'!C" &amp; ROW()))</f>
        <v/>
      </c>
      <c r="C1017" s="8" t="str" cm="1">
        <f t="array" aca="1" ref="C1017" ca="1">IF(INDIRECT("'Student_Record 1'!E" &amp; ROW())="", "", INDIRECT("'Student_Record 1'!E" &amp; ROW()))</f>
        <v/>
      </c>
      <c r="D1017" s="8" t="str" cm="1">
        <f t="array" aca="1" ref="D1017" ca="1">IF(INDIRECT("'Student_Record 1'!G" &amp; ROW())="", "", INDIRECT("'Student_Record 1'!G" &amp; ROW()))</f>
        <v/>
      </c>
      <c r="E1017" s="8" t="str" cm="1">
        <f t="array" aca="1" ref="E1017" ca="1">IF(INDIRECT("'Student_Record 1'!I" &amp; ROW())="", "", INDIRECT("'Student_Record 1'!I" &amp; ROW()))</f>
        <v/>
      </c>
      <c r="F1017" s="8" t="str" cm="1">
        <f t="array" aca="1" ref="F1017" ca="1">IF(INDIRECT("'Student_Record 1'!O" &amp; ROW())="", "", INDIRECT("'Student_Record 1'!O" &amp; ROW()))</f>
        <v/>
      </c>
      <c r="I1017" s="9"/>
      <c r="J1017" s="9"/>
      <c r="K1017" s="9"/>
      <c r="L1017" s="9"/>
      <c r="M1017" s="9"/>
      <c r="N1017" s="9"/>
      <c r="O1017" s="9"/>
      <c r="P1017" s="9"/>
      <c r="Q1017" s="9"/>
    </row>
    <row r="1018" spans="1:17" x14ac:dyDescent="0.25">
      <c r="A1018" s="8" t="str" cm="1">
        <f t="array" aca="1" ref="A1018" ca="1">IF(INDIRECT("'Student_Record 1'!A" &amp; ROW())="", "", INDIRECT("'Student_Record 1'!A" &amp; ROW()))</f>
        <v/>
      </c>
      <c r="B1018" s="8" t="str" cm="1">
        <f t="array" aca="1" ref="B1018" ca="1">IF(INDIRECT("'Student_Record 1'!C" &amp; ROW())="", "", INDIRECT("'Student_Record 1'!C" &amp; ROW()))</f>
        <v/>
      </c>
      <c r="C1018" s="8" t="str" cm="1">
        <f t="array" aca="1" ref="C1018" ca="1">IF(INDIRECT("'Student_Record 1'!E" &amp; ROW())="", "", INDIRECT("'Student_Record 1'!E" &amp; ROW()))</f>
        <v/>
      </c>
      <c r="D1018" s="8" t="str" cm="1">
        <f t="array" aca="1" ref="D1018" ca="1">IF(INDIRECT("'Student_Record 1'!G" &amp; ROW())="", "", INDIRECT("'Student_Record 1'!G" &amp; ROW()))</f>
        <v/>
      </c>
      <c r="E1018" s="8" t="str" cm="1">
        <f t="array" aca="1" ref="E1018" ca="1">IF(INDIRECT("'Student_Record 1'!I" &amp; ROW())="", "", INDIRECT("'Student_Record 1'!I" &amp; ROW()))</f>
        <v/>
      </c>
      <c r="F1018" s="8" t="str" cm="1">
        <f t="array" aca="1" ref="F1018" ca="1">IF(INDIRECT("'Student_Record 1'!O" &amp; ROW())="", "", INDIRECT("'Student_Record 1'!O" &amp; ROW()))</f>
        <v/>
      </c>
      <c r="I1018" s="9"/>
      <c r="J1018" s="9"/>
      <c r="K1018" s="9"/>
      <c r="L1018" s="9"/>
      <c r="M1018" s="9"/>
      <c r="N1018" s="9"/>
      <c r="O1018" s="9"/>
      <c r="P1018" s="9"/>
      <c r="Q1018" s="9"/>
    </row>
    <row r="1019" spans="1:17" x14ac:dyDescent="0.25">
      <c r="A1019" s="8" t="str" cm="1">
        <f t="array" aca="1" ref="A1019" ca="1">IF(INDIRECT("'Student_Record 1'!A" &amp; ROW())="", "", INDIRECT("'Student_Record 1'!A" &amp; ROW()))</f>
        <v/>
      </c>
      <c r="B1019" s="8" t="str" cm="1">
        <f t="array" aca="1" ref="B1019" ca="1">IF(INDIRECT("'Student_Record 1'!C" &amp; ROW())="", "", INDIRECT("'Student_Record 1'!C" &amp; ROW()))</f>
        <v/>
      </c>
      <c r="C1019" s="8" t="str" cm="1">
        <f t="array" aca="1" ref="C1019" ca="1">IF(INDIRECT("'Student_Record 1'!E" &amp; ROW())="", "", INDIRECT("'Student_Record 1'!E" &amp; ROW()))</f>
        <v/>
      </c>
      <c r="D1019" s="8" t="str" cm="1">
        <f t="array" aca="1" ref="D1019" ca="1">IF(INDIRECT("'Student_Record 1'!G" &amp; ROW())="", "", INDIRECT("'Student_Record 1'!G" &amp; ROW()))</f>
        <v/>
      </c>
      <c r="E1019" s="8" t="str" cm="1">
        <f t="array" aca="1" ref="E1019" ca="1">IF(INDIRECT("'Student_Record 1'!I" &amp; ROW())="", "", INDIRECT("'Student_Record 1'!I" &amp; ROW()))</f>
        <v/>
      </c>
      <c r="F1019" s="8" t="str" cm="1">
        <f t="array" aca="1" ref="F1019" ca="1">IF(INDIRECT("'Student_Record 1'!O" &amp; ROW())="", "", INDIRECT("'Student_Record 1'!O" &amp; ROW()))</f>
        <v/>
      </c>
      <c r="I1019" s="9"/>
      <c r="J1019" s="9"/>
      <c r="K1019" s="9"/>
      <c r="L1019" s="9"/>
      <c r="M1019" s="9"/>
      <c r="N1019" s="9"/>
      <c r="O1019" s="9"/>
      <c r="P1019" s="9"/>
      <c r="Q1019" s="9"/>
    </row>
    <row r="1020" spans="1:17" x14ac:dyDescent="0.25">
      <c r="A1020" s="8" t="str" cm="1">
        <f t="array" aca="1" ref="A1020" ca="1">IF(INDIRECT("'Student_Record 1'!A" &amp; ROW())="", "", INDIRECT("'Student_Record 1'!A" &amp; ROW()))</f>
        <v/>
      </c>
      <c r="B1020" s="8" t="str" cm="1">
        <f t="array" aca="1" ref="B1020" ca="1">IF(INDIRECT("'Student_Record 1'!C" &amp; ROW())="", "", INDIRECT("'Student_Record 1'!C" &amp; ROW()))</f>
        <v/>
      </c>
      <c r="C1020" s="8" t="str" cm="1">
        <f t="array" aca="1" ref="C1020" ca="1">IF(INDIRECT("'Student_Record 1'!E" &amp; ROW())="", "", INDIRECT("'Student_Record 1'!E" &amp; ROW()))</f>
        <v/>
      </c>
      <c r="D1020" s="8" t="str" cm="1">
        <f t="array" aca="1" ref="D1020" ca="1">IF(INDIRECT("'Student_Record 1'!G" &amp; ROW())="", "", INDIRECT("'Student_Record 1'!G" &amp; ROW()))</f>
        <v/>
      </c>
      <c r="E1020" s="8" t="str" cm="1">
        <f t="array" aca="1" ref="E1020" ca="1">IF(INDIRECT("'Student_Record 1'!I" &amp; ROW())="", "", INDIRECT("'Student_Record 1'!I" &amp; ROW()))</f>
        <v/>
      </c>
      <c r="F1020" s="8" t="str" cm="1">
        <f t="array" aca="1" ref="F1020" ca="1">IF(INDIRECT("'Student_Record 1'!O" &amp; ROW())="", "", INDIRECT("'Student_Record 1'!O" &amp; ROW()))</f>
        <v/>
      </c>
      <c r="I1020" s="9"/>
      <c r="J1020" s="9"/>
      <c r="K1020" s="9"/>
      <c r="L1020" s="9"/>
      <c r="M1020" s="9"/>
      <c r="N1020" s="9"/>
      <c r="O1020" s="9"/>
      <c r="P1020" s="9"/>
      <c r="Q1020" s="9"/>
    </row>
    <row r="1021" spans="1:17" x14ac:dyDescent="0.25">
      <c r="A1021" s="8" t="str" cm="1">
        <f t="array" aca="1" ref="A1021" ca="1">IF(INDIRECT("'Student_Record 1'!A" &amp; ROW())="", "", INDIRECT("'Student_Record 1'!A" &amp; ROW()))</f>
        <v/>
      </c>
      <c r="B1021" s="8" t="str" cm="1">
        <f t="array" aca="1" ref="B1021" ca="1">IF(INDIRECT("'Student_Record 1'!C" &amp; ROW())="", "", INDIRECT("'Student_Record 1'!C" &amp; ROW()))</f>
        <v/>
      </c>
      <c r="C1021" s="8" t="str" cm="1">
        <f t="array" aca="1" ref="C1021" ca="1">IF(INDIRECT("'Student_Record 1'!E" &amp; ROW())="", "", INDIRECT("'Student_Record 1'!E" &amp; ROW()))</f>
        <v/>
      </c>
      <c r="D1021" s="8" t="str" cm="1">
        <f t="array" aca="1" ref="D1021" ca="1">IF(INDIRECT("'Student_Record 1'!G" &amp; ROW())="", "", INDIRECT("'Student_Record 1'!G" &amp; ROW()))</f>
        <v/>
      </c>
      <c r="E1021" s="8" t="str" cm="1">
        <f t="array" aca="1" ref="E1021" ca="1">IF(INDIRECT("'Student_Record 1'!I" &amp; ROW())="", "", INDIRECT("'Student_Record 1'!I" &amp; ROW()))</f>
        <v/>
      </c>
      <c r="F1021" s="8" t="str" cm="1">
        <f t="array" aca="1" ref="F1021" ca="1">IF(INDIRECT("'Student_Record 1'!O" &amp; ROW())="", "", INDIRECT("'Student_Record 1'!O" &amp; ROW()))</f>
        <v/>
      </c>
      <c r="I1021" s="9"/>
      <c r="J1021" s="9"/>
      <c r="K1021" s="9"/>
      <c r="L1021" s="9"/>
      <c r="M1021" s="9"/>
      <c r="N1021" s="9"/>
      <c r="O1021" s="9"/>
      <c r="P1021" s="9"/>
      <c r="Q1021" s="9"/>
    </row>
    <row r="1022" spans="1:17" x14ac:dyDescent="0.25">
      <c r="A1022" s="8" t="str" cm="1">
        <f t="array" aca="1" ref="A1022" ca="1">IF(INDIRECT("'Student_Record 1'!A" &amp; ROW())="", "", INDIRECT("'Student_Record 1'!A" &amp; ROW()))</f>
        <v/>
      </c>
      <c r="B1022" s="8" t="str" cm="1">
        <f t="array" aca="1" ref="B1022" ca="1">IF(INDIRECT("'Student_Record 1'!C" &amp; ROW())="", "", INDIRECT("'Student_Record 1'!C" &amp; ROW()))</f>
        <v/>
      </c>
      <c r="C1022" s="8" t="str" cm="1">
        <f t="array" aca="1" ref="C1022" ca="1">IF(INDIRECT("'Student_Record 1'!E" &amp; ROW())="", "", INDIRECT("'Student_Record 1'!E" &amp; ROW()))</f>
        <v/>
      </c>
      <c r="D1022" s="8" t="str" cm="1">
        <f t="array" aca="1" ref="D1022" ca="1">IF(INDIRECT("'Student_Record 1'!G" &amp; ROW())="", "", INDIRECT("'Student_Record 1'!G" &amp; ROW()))</f>
        <v/>
      </c>
      <c r="E1022" s="8" t="str" cm="1">
        <f t="array" aca="1" ref="E1022" ca="1">IF(INDIRECT("'Student_Record 1'!I" &amp; ROW())="", "", INDIRECT("'Student_Record 1'!I" &amp; ROW()))</f>
        <v/>
      </c>
      <c r="F1022" s="8" t="str" cm="1">
        <f t="array" aca="1" ref="F1022" ca="1">IF(INDIRECT("'Student_Record 1'!O" &amp; ROW())="", "", INDIRECT("'Student_Record 1'!O" &amp; ROW()))</f>
        <v/>
      </c>
      <c r="I1022" s="9"/>
      <c r="J1022" s="9"/>
      <c r="K1022" s="9"/>
      <c r="L1022" s="9"/>
      <c r="M1022" s="9"/>
      <c r="N1022" s="9"/>
      <c r="O1022" s="9"/>
      <c r="P1022" s="9"/>
      <c r="Q1022" s="9"/>
    </row>
    <row r="1023" spans="1:17" x14ac:dyDescent="0.25">
      <c r="A1023" s="8" t="str" cm="1">
        <f t="array" aca="1" ref="A1023" ca="1">IF(INDIRECT("'Student_Record 1'!A" &amp; ROW())="", "", INDIRECT("'Student_Record 1'!A" &amp; ROW()))</f>
        <v/>
      </c>
      <c r="B1023" s="8" t="str" cm="1">
        <f t="array" aca="1" ref="B1023" ca="1">IF(INDIRECT("'Student_Record 1'!C" &amp; ROW())="", "", INDIRECT("'Student_Record 1'!C" &amp; ROW()))</f>
        <v/>
      </c>
      <c r="C1023" s="8" t="str" cm="1">
        <f t="array" aca="1" ref="C1023" ca="1">IF(INDIRECT("'Student_Record 1'!E" &amp; ROW())="", "", INDIRECT("'Student_Record 1'!E" &amp; ROW()))</f>
        <v/>
      </c>
      <c r="D1023" s="8" t="str" cm="1">
        <f t="array" aca="1" ref="D1023" ca="1">IF(INDIRECT("'Student_Record 1'!G" &amp; ROW())="", "", INDIRECT("'Student_Record 1'!G" &amp; ROW()))</f>
        <v/>
      </c>
      <c r="E1023" s="8" t="str" cm="1">
        <f t="array" aca="1" ref="E1023" ca="1">IF(INDIRECT("'Student_Record 1'!I" &amp; ROW())="", "", INDIRECT("'Student_Record 1'!I" &amp; ROW()))</f>
        <v/>
      </c>
      <c r="F1023" s="8" t="str" cm="1">
        <f t="array" aca="1" ref="F1023" ca="1">IF(INDIRECT("'Student_Record 1'!O" &amp; ROW())="", "", INDIRECT("'Student_Record 1'!O" &amp; ROW()))</f>
        <v/>
      </c>
      <c r="I1023" s="9"/>
      <c r="J1023" s="9"/>
      <c r="K1023" s="9"/>
      <c r="L1023" s="9"/>
      <c r="M1023" s="9"/>
      <c r="N1023" s="9"/>
      <c r="O1023" s="9"/>
      <c r="P1023" s="9"/>
      <c r="Q1023" s="9"/>
    </row>
    <row r="1024" spans="1:17" x14ac:dyDescent="0.25">
      <c r="A1024" s="8" t="str" cm="1">
        <f t="array" aca="1" ref="A1024" ca="1">IF(INDIRECT("'Student_Record 1'!A" &amp; ROW())="", "", INDIRECT("'Student_Record 1'!A" &amp; ROW()))</f>
        <v/>
      </c>
      <c r="B1024" s="8" t="str" cm="1">
        <f t="array" aca="1" ref="B1024" ca="1">IF(INDIRECT("'Student_Record 1'!C" &amp; ROW())="", "", INDIRECT("'Student_Record 1'!C" &amp; ROW()))</f>
        <v/>
      </c>
      <c r="C1024" s="8" t="str" cm="1">
        <f t="array" aca="1" ref="C1024" ca="1">IF(INDIRECT("'Student_Record 1'!E" &amp; ROW())="", "", INDIRECT("'Student_Record 1'!E" &amp; ROW()))</f>
        <v/>
      </c>
      <c r="D1024" s="8" t="str" cm="1">
        <f t="array" aca="1" ref="D1024" ca="1">IF(INDIRECT("'Student_Record 1'!G" &amp; ROW())="", "", INDIRECT("'Student_Record 1'!G" &amp; ROW()))</f>
        <v/>
      </c>
      <c r="E1024" s="8" t="str" cm="1">
        <f t="array" aca="1" ref="E1024" ca="1">IF(INDIRECT("'Student_Record 1'!I" &amp; ROW())="", "", INDIRECT("'Student_Record 1'!I" &amp; ROW()))</f>
        <v/>
      </c>
      <c r="F1024" s="8" t="str" cm="1">
        <f t="array" aca="1" ref="F1024" ca="1">IF(INDIRECT("'Student_Record 1'!O" &amp; ROW())="", "", INDIRECT("'Student_Record 1'!O" &amp; ROW()))</f>
        <v/>
      </c>
    </row>
    <row r="1025" spans="1:6" x14ac:dyDescent="0.25">
      <c r="A1025" s="8" t="str" cm="1">
        <f t="array" aca="1" ref="A1025" ca="1">IF(INDIRECT("'Student_Record 1'!A" &amp; ROW())="", "", INDIRECT("'Student_Record 1'!A" &amp; ROW()))</f>
        <v/>
      </c>
      <c r="B1025" s="8" t="str" cm="1">
        <f t="array" aca="1" ref="B1025" ca="1">IF(INDIRECT("'Student_Record 1'!C" &amp; ROW())="", "", INDIRECT("'Student_Record 1'!C" &amp; ROW()))</f>
        <v/>
      </c>
      <c r="C1025" s="8" t="str" cm="1">
        <f t="array" aca="1" ref="C1025" ca="1">IF(INDIRECT("'Student_Record 1'!E" &amp; ROW())="", "", INDIRECT("'Student_Record 1'!E" &amp; ROW()))</f>
        <v/>
      </c>
      <c r="D1025" s="8" t="str" cm="1">
        <f t="array" aca="1" ref="D1025" ca="1">IF(INDIRECT("'Student_Record 1'!G" &amp; ROW())="", "", INDIRECT("'Student_Record 1'!G" &amp; ROW()))</f>
        <v/>
      </c>
      <c r="E1025" s="8" t="str" cm="1">
        <f t="array" aca="1" ref="E1025" ca="1">IF(INDIRECT("'Student_Record 1'!I" &amp; ROW())="", "", INDIRECT("'Student_Record 1'!I" &amp; ROW()))</f>
        <v/>
      </c>
      <c r="F1025" s="8" t="str" cm="1">
        <f t="array" aca="1" ref="F1025" ca="1">IF(INDIRECT("'Student_Record 1'!O" &amp; ROW())="", "", INDIRECT("'Student_Record 1'!O" &amp; ROW()))</f>
        <v/>
      </c>
    </row>
    <row r="1026" spans="1:6" x14ac:dyDescent="0.25">
      <c r="A1026" s="8" t="str" cm="1">
        <f t="array" aca="1" ref="A1026" ca="1">IF(INDIRECT("'Student_Record 1'!A" &amp; ROW())="", "", INDIRECT("'Student_Record 1'!A" &amp; ROW()))</f>
        <v/>
      </c>
      <c r="B1026" s="8" t="str" cm="1">
        <f t="array" aca="1" ref="B1026" ca="1">IF(INDIRECT("'Student_Record 1'!C" &amp; ROW())="", "", INDIRECT("'Student_Record 1'!C" &amp; ROW()))</f>
        <v/>
      </c>
      <c r="C1026" s="8" t="str" cm="1">
        <f t="array" aca="1" ref="C1026" ca="1">IF(INDIRECT("'Student_Record 1'!E" &amp; ROW())="", "", INDIRECT("'Student_Record 1'!E" &amp; ROW()))</f>
        <v/>
      </c>
      <c r="D1026" s="8" t="str" cm="1">
        <f t="array" aca="1" ref="D1026" ca="1">IF(INDIRECT("'Student_Record 1'!G" &amp; ROW())="", "", INDIRECT("'Student_Record 1'!G" &amp; ROW()))</f>
        <v/>
      </c>
      <c r="E1026" s="8" t="str" cm="1">
        <f t="array" aca="1" ref="E1026" ca="1">IF(INDIRECT("'Student_Record 1'!I" &amp; ROW())="", "", INDIRECT("'Student_Record 1'!I" &amp; ROW()))</f>
        <v/>
      </c>
      <c r="F1026" s="8" t="str" cm="1">
        <f t="array" aca="1" ref="F1026" ca="1">IF(INDIRECT("'Student_Record 1'!O" &amp; ROW())="", "", INDIRECT("'Student_Record 1'!O" &amp; ROW()))</f>
        <v/>
      </c>
    </row>
    <row r="1027" spans="1:6" x14ac:dyDescent="0.25">
      <c r="A1027" s="8" t="str" cm="1">
        <f t="array" aca="1" ref="A1027" ca="1">IF(INDIRECT("'Student_Record 1'!A" &amp; ROW())="", "", INDIRECT("'Student_Record 1'!A" &amp; ROW()))</f>
        <v/>
      </c>
      <c r="B1027" s="8" t="str" cm="1">
        <f t="array" aca="1" ref="B1027" ca="1">IF(INDIRECT("'Student_Record 1'!C" &amp; ROW())="", "", INDIRECT("'Student_Record 1'!C" &amp; ROW()))</f>
        <v/>
      </c>
      <c r="C1027" s="8" t="str" cm="1">
        <f t="array" aca="1" ref="C1027" ca="1">IF(INDIRECT("'Student_Record 1'!E" &amp; ROW())="", "", INDIRECT("'Student_Record 1'!E" &amp; ROW()))</f>
        <v/>
      </c>
      <c r="D1027" s="8" t="str" cm="1">
        <f t="array" aca="1" ref="D1027" ca="1">IF(INDIRECT("'Student_Record 1'!G" &amp; ROW())="", "", INDIRECT("'Student_Record 1'!G" &amp; ROW()))</f>
        <v/>
      </c>
      <c r="E1027" s="8" t="str" cm="1">
        <f t="array" aca="1" ref="E1027" ca="1">IF(INDIRECT("'Student_Record 1'!I" &amp; ROW())="", "", INDIRECT("'Student_Record 1'!I" &amp; ROW()))</f>
        <v/>
      </c>
      <c r="F1027" s="8" t="str" cm="1">
        <f t="array" aca="1" ref="F1027" ca="1">IF(INDIRECT("'Student_Record 1'!O" &amp; ROW())="", "", INDIRECT("'Student_Record 1'!O" &amp; ROW()))</f>
        <v/>
      </c>
    </row>
    <row r="1028" spans="1:6" x14ac:dyDescent="0.25">
      <c r="A1028" s="8" t="str" cm="1">
        <f t="array" aca="1" ref="A1028" ca="1">IF(INDIRECT("'Student_Record 1'!A" &amp; ROW())="", "", INDIRECT("'Student_Record 1'!A" &amp; ROW()))</f>
        <v/>
      </c>
      <c r="B1028" s="8" t="str" cm="1">
        <f t="array" aca="1" ref="B1028" ca="1">IF(INDIRECT("'Student_Record 1'!C" &amp; ROW())="", "", INDIRECT("'Student_Record 1'!C" &amp; ROW()))</f>
        <v/>
      </c>
      <c r="C1028" s="8" t="str" cm="1">
        <f t="array" aca="1" ref="C1028" ca="1">IF(INDIRECT("'Student_Record 1'!E" &amp; ROW())="", "", INDIRECT("'Student_Record 1'!E" &amp; ROW()))</f>
        <v/>
      </c>
      <c r="D1028" s="8" t="str" cm="1">
        <f t="array" aca="1" ref="D1028" ca="1">IF(INDIRECT("'Student_Record 1'!G" &amp; ROW())="", "", INDIRECT("'Student_Record 1'!G" &amp; ROW()))</f>
        <v/>
      </c>
      <c r="E1028" s="8" t="str" cm="1">
        <f t="array" aca="1" ref="E1028" ca="1">IF(INDIRECT("'Student_Record 1'!I" &amp; ROW())="", "", INDIRECT("'Student_Record 1'!I" &amp; ROW()))</f>
        <v/>
      </c>
      <c r="F1028" s="8" t="str" cm="1">
        <f t="array" aca="1" ref="F1028" ca="1">IF(INDIRECT("'Student_Record 1'!O" &amp; ROW())="", "", INDIRECT("'Student_Record 1'!O" &amp; ROW()))</f>
        <v/>
      </c>
    </row>
    <row r="1029" spans="1:6" x14ac:dyDescent="0.25">
      <c r="A1029" s="8" t="str" cm="1">
        <f t="array" aca="1" ref="A1029" ca="1">IF(INDIRECT("'Student_Record 1'!A" &amp; ROW())="", "", INDIRECT("'Student_Record 1'!A" &amp; ROW()))</f>
        <v/>
      </c>
      <c r="B1029" s="8" t="str" cm="1">
        <f t="array" aca="1" ref="B1029" ca="1">IF(INDIRECT("'Student_Record 1'!C" &amp; ROW())="", "", INDIRECT("'Student_Record 1'!C" &amp; ROW()))</f>
        <v/>
      </c>
      <c r="C1029" s="8" t="str" cm="1">
        <f t="array" aca="1" ref="C1029" ca="1">IF(INDIRECT("'Student_Record 1'!E" &amp; ROW())="", "", INDIRECT("'Student_Record 1'!E" &amp; ROW()))</f>
        <v/>
      </c>
      <c r="D1029" s="8" t="str" cm="1">
        <f t="array" aca="1" ref="D1029" ca="1">IF(INDIRECT("'Student_Record 1'!G" &amp; ROW())="", "", INDIRECT("'Student_Record 1'!G" &amp; ROW()))</f>
        <v/>
      </c>
      <c r="E1029" s="8" t="str" cm="1">
        <f t="array" aca="1" ref="E1029" ca="1">IF(INDIRECT("'Student_Record 1'!I" &amp; ROW())="", "", INDIRECT("'Student_Record 1'!I" &amp; ROW()))</f>
        <v/>
      </c>
      <c r="F1029" s="8" t="str" cm="1">
        <f t="array" aca="1" ref="F1029" ca="1">IF(INDIRECT("'Student_Record 1'!O" &amp; ROW())="", "", INDIRECT("'Student_Record 1'!O" &amp; ROW()))</f>
        <v/>
      </c>
    </row>
    <row r="1030" spans="1:6" x14ac:dyDescent="0.25">
      <c r="A1030" s="8" t="str" cm="1">
        <f t="array" aca="1" ref="A1030" ca="1">IF(INDIRECT("'Student_Record 1'!A" &amp; ROW())="", "", INDIRECT("'Student_Record 1'!A" &amp; ROW()))</f>
        <v/>
      </c>
      <c r="B1030" s="8" t="str" cm="1">
        <f t="array" aca="1" ref="B1030" ca="1">IF(INDIRECT("'Student_Record 1'!C" &amp; ROW())="", "", INDIRECT("'Student_Record 1'!C" &amp; ROW()))</f>
        <v/>
      </c>
      <c r="C1030" s="8" t="str" cm="1">
        <f t="array" aca="1" ref="C1030" ca="1">IF(INDIRECT("'Student_Record 1'!E" &amp; ROW())="", "", INDIRECT("'Student_Record 1'!E" &amp; ROW()))</f>
        <v/>
      </c>
      <c r="D1030" s="8" t="str" cm="1">
        <f t="array" aca="1" ref="D1030" ca="1">IF(INDIRECT("'Student_Record 1'!G" &amp; ROW())="", "", INDIRECT("'Student_Record 1'!G" &amp; ROW()))</f>
        <v/>
      </c>
      <c r="E1030" s="8" t="str" cm="1">
        <f t="array" aca="1" ref="E1030" ca="1">IF(INDIRECT("'Student_Record 1'!I" &amp; ROW())="", "", INDIRECT("'Student_Record 1'!I" &amp; ROW()))</f>
        <v/>
      </c>
      <c r="F1030" s="8" t="str" cm="1">
        <f t="array" aca="1" ref="F1030" ca="1">IF(INDIRECT("'Student_Record 1'!O" &amp; ROW())="", "", INDIRECT("'Student_Record 1'!O" &amp; ROW()))</f>
        <v/>
      </c>
    </row>
    <row r="1031" spans="1:6" x14ac:dyDescent="0.25">
      <c r="A1031" s="8" t="str" cm="1">
        <f t="array" aca="1" ref="A1031" ca="1">IF(INDIRECT("'Student_Record 1'!A" &amp; ROW())="", "", INDIRECT("'Student_Record 1'!A" &amp; ROW()))</f>
        <v/>
      </c>
      <c r="B1031" s="8" t="str" cm="1">
        <f t="array" aca="1" ref="B1031" ca="1">IF(INDIRECT("'Student_Record 1'!C" &amp; ROW())="", "", INDIRECT("'Student_Record 1'!C" &amp; ROW()))</f>
        <v/>
      </c>
      <c r="C1031" s="8" t="str" cm="1">
        <f t="array" aca="1" ref="C1031" ca="1">IF(INDIRECT("'Student_Record 1'!E" &amp; ROW())="", "", INDIRECT("'Student_Record 1'!E" &amp; ROW()))</f>
        <v/>
      </c>
      <c r="D1031" s="8" t="str" cm="1">
        <f t="array" aca="1" ref="D1031" ca="1">IF(INDIRECT("'Student_Record 1'!G" &amp; ROW())="", "", INDIRECT("'Student_Record 1'!G" &amp; ROW()))</f>
        <v/>
      </c>
      <c r="E1031" s="8" t="str" cm="1">
        <f t="array" aca="1" ref="E1031" ca="1">IF(INDIRECT("'Student_Record 1'!I" &amp; ROW())="", "", INDIRECT("'Student_Record 1'!I" &amp; ROW()))</f>
        <v/>
      </c>
      <c r="F1031" s="8" t="str" cm="1">
        <f t="array" aca="1" ref="F1031" ca="1">IF(INDIRECT("'Student_Record 1'!O" &amp; ROW())="", "", INDIRECT("'Student_Record 1'!O" &amp; ROW()))</f>
        <v/>
      </c>
    </row>
    <row r="1032" spans="1:6" x14ac:dyDescent="0.25">
      <c r="A1032" s="8" t="str" cm="1">
        <f t="array" aca="1" ref="A1032" ca="1">IF(INDIRECT("'Student_Record 1'!A" &amp; ROW())="", "", INDIRECT("'Student_Record 1'!A" &amp; ROW()))</f>
        <v/>
      </c>
      <c r="B1032" s="8" t="str" cm="1">
        <f t="array" aca="1" ref="B1032" ca="1">IF(INDIRECT("'Student_Record 1'!C" &amp; ROW())="", "", INDIRECT("'Student_Record 1'!C" &amp; ROW()))</f>
        <v/>
      </c>
      <c r="C1032" s="8" t="str" cm="1">
        <f t="array" aca="1" ref="C1032" ca="1">IF(INDIRECT("'Student_Record 1'!E" &amp; ROW())="", "", INDIRECT("'Student_Record 1'!E" &amp; ROW()))</f>
        <v/>
      </c>
      <c r="D1032" s="8" t="str" cm="1">
        <f t="array" aca="1" ref="D1032" ca="1">IF(INDIRECT("'Student_Record 1'!G" &amp; ROW())="", "", INDIRECT("'Student_Record 1'!G" &amp; ROW()))</f>
        <v/>
      </c>
      <c r="E1032" s="8" t="str" cm="1">
        <f t="array" aca="1" ref="E1032" ca="1">IF(INDIRECT("'Student_Record 1'!I" &amp; ROW())="", "", INDIRECT("'Student_Record 1'!I" &amp; ROW()))</f>
        <v/>
      </c>
      <c r="F1032" s="8" t="str" cm="1">
        <f t="array" aca="1" ref="F1032" ca="1">IF(INDIRECT("'Student_Record 1'!O" &amp; ROW())="", "", INDIRECT("'Student_Record 1'!O" &amp; ROW()))</f>
        <v/>
      </c>
    </row>
    <row r="1033" spans="1:6" x14ac:dyDescent="0.25">
      <c r="A1033" s="8" t="str" cm="1">
        <f t="array" aca="1" ref="A1033" ca="1">IF(INDIRECT("'Student_Record 1'!A" &amp; ROW())="", "", INDIRECT("'Student_Record 1'!A" &amp; ROW()))</f>
        <v/>
      </c>
      <c r="B1033" s="8" t="str" cm="1">
        <f t="array" aca="1" ref="B1033" ca="1">IF(INDIRECT("'Student_Record 1'!C" &amp; ROW())="", "", INDIRECT("'Student_Record 1'!C" &amp; ROW()))</f>
        <v/>
      </c>
      <c r="C1033" s="8" t="str" cm="1">
        <f t="array" aca="1" ref="C1033" ca="1">IF(INDIRECT("'Student_Record 1'!E" &amp; ROW())="", "", INDIRECT("'Student_Record 1'!E" &amp; ROW()))</f>
        <v/>
      </c>
      <c r="D1033" s="8" t="str" cm="1">
        <f t="array" aca="1" ref="D1033" ca="1">IF(INDIRECT("'Student_Record 1'!G" &amp; ROW())="", "", INDIRECT("'Student_Record 1'!G" &amp; ROW()))</f>
        <v/>
      </c>
      <c r="E1033" s="8" t="str" cm="1">
        <f t="array" aca="1" ref="E1033" ca="1">IF(INDIRECT("'Student_Record 1'!I" &amp; ROW())="", "", INDIRECT("'Student_Record 1'!I" &amp; ROW()))</f>
        <v/>
      </c>
      <c r="F1033" s="8" t="str" cm="1">
        <f t="array" aca="1" ref="F1033" ca="1">IF(INDIRECT("'Student_Record 1'!O" &amp; ROW())="", "", INDIRECT("'Student_Record 1'!O" &amp; ROW()))</f>
        <v/>
      </c>
    </row>
    <row r="1034" spans="1:6" x14ac:dyDescent="0.25">
      <c r="A1034" s="8" t="str" cm="1">
        <f t="array" aca="1" ref="A1034" ca="1">IF(INDIRECT("'Student_Record 1'!A" &amp; ROW())="", "", INDIRECT("'Student_Record 1'!A" &amp; ROW()))</f>
        <v/>
      </c>
      <c r="B1034" s="8" t="str" cm="1">
        <f t="array" aca="1" ref="B1034" ca="1">IF(INDIRECT("'Student_Record 1'!C" &amp; ROW())="", "", INDIRECT("'Student_Record 1'!C" &amp; ROW()))</f>
        <v/>
      </c>
      <c r="C1034" s="8" t="str" cm="1">
        <f t="array" aca="1" ref="C1034" ca="1">IF(INDIRECT("'Student_Record 1'!E" &amp; ROW())="", "", INDIRECT("'Student_Record 1'!E" &amp; ROW()))</f>
        <v/>
      </c>
      <c r="D1034" s="8" t="str" cm="1">
        <f t="array" aca="1" ref="D1034" ca="1">IF(INDIRECT("'Student_Record 1'!G" &amp; ROW())="", "", INDIRECT("'Student_Record 1'!G" &amp; ROW()))</f>
        <v/>
      </c>
      <c r="E1034" s="8" t="str" cm="1">
        <f t="array" aca="1" ref="E1034" ca="1">IF(INDIRECT("'Student_Record 1'!I" &amp; ROW())="", "", INDIRECT("'Student_Record 1'!I" &amp; ROW()))</f>
        <v/>
      </c>
      <c r="F1034" s="8" t="str" cm="1">
        <f t="array" aca="1" ref="F1034" ca="1">IF(INDIRECT("'Student_Record 1'!O" &amp; ROW())="", "", INDIRECT("'Student_Record 1'!O" &amp; ROW()))</f>
        <v/>
      </c>
    </row>
    <row r="1035" spans="1:6" x14ac:dyDescent="0.25">
      <c r="A1035" s="8" t="str" cm="1">
        <f t="array" aca="1" ref="A1035" ca="1">IF(INDIRECT("'Student_Record 1'!A" &amp; ROW())="", "", INDIRECT("'Student_Record 1'!A" &amp; ROW()))</f>
        <v/>
      </c>
      <c r="B1035" s="8" t="str" cm="1">
        <f t="array" aca="1" ref="B1035" ca="1">IF(INDIRECT("'Student_Record 1'!C" &amp; ROW())="", "", INDIRECT("'Student_Record 1'!C" &amp; ROW()))</f>
        <v/>
      </c>
      <c r="C1035" s="8" t="str" cm="1">
        <f t="array" aca="1" ref="C1035" ca="1">IF(INDIRECT("'Student_Record 1'!E" &amp; ROW())="", "", INDIRECT("'Student_Record 1'!E" &amp; ROW()))</f>
        <v/>
      </c>
      <c r="D1035" s="8" t="str" cm="1">
        <f t="array" aca="1" ref="D1035" ca="1">IF(INDIRECT("'Student_Record 1'!G" &amp; ROW())="", "", INDIRECT("'Student_Record 1'!G" &amp; ROW()))</f>
        <v/>
      </c>
      <c r="E1035" s="8" t="str" cm="1">
        <f t="array" aca="1" ref="E1035" ca="1">IF(INDIRECT("'Student_Record 1'!I" &amp; ROW())="", "", INDIRECT("'Student_Record 1'!I" &amp; ROW()))</f>
        <v/>
      </c>
      <c r="F1035" s="8" t="str" cm="1">
        <f t="array" aca="1" ref="F1035" ca="1">IF(INDIRECT("'Student_Record 1'!O" &amp; ROW())="", "", INDIRECT("'Student_Record 1'!O" &amp; ROW()))</f>
        <v/>
      </c>
    </row>
    <row r="1036" spans="1:6" x14ac:dyDescent="0.25">
      <c r="A1036" s="8" t="str" cm="1">
        <f t="array" aca="1" ref="A1036" ca="1">IF(INDIRECT("'Student_Record 1'!A" &amp; ROW())="", "", INDIRECT("'Student_Record 1'!A" &amp; ROW()))</f>
        <v/>
      </c>
      <c r="B1036" s="8" t="str" cm="1">
        <f t="array" aca="1" ref="B1036" ca="1">IF(INDIRECT("'Student_Record 1'!C" &amp; ROW())="", "", INDIRECT("'Student_Record 1'!C" &amp; ROW()))</f>
        <v/>
      </c>
      <c r="C1036" s="8" t="str" cm="1">
        <f t="array" aca="1" ref="C1036" ca="1">IF(INDIRECT("'Student_Record 1'!E" &amp; ROW())="", "", INDIRECT("'Student_Record 1'!E" &amp; ROW()))</f>
        <v/>
      </c>
      <c r="D1036" s="8" t="str" cm="1">
        <f t="array" aca="1" ref="D1036" ca="1">IF(INDIRECT("'Student_Record 1'!G" &amp; ROW())="", "", INDIRECT("'Student_Record 1'!G" &amp; ROW()))</f>
        <v/>
      </c>
      <c r="E1036" s="8" t="str" cm="1">
        <f t="array" aca="1" ref="E1036" ca="1">IF(INDIRECT("'Student_Record 1'!I" &amp; ROW())="", "", INDIRECT("'Student_Record 1'!I" &amp; ROW()))</f>
        <v/>
      </c>
      <c r="F1036" s="8" t="str" cm="1">
        <f t="array" aca="1" ref="F1036" ca="1">IF(INDIRECT("'Student_Record 1'!O" &amp; ROW())="", "", INDIRECT("'Student_Record 1'!O" &amp; ROW()))</f>
        <v/>
      </c>
    </row>
    <row r="1037" spans="1:6" x14ac:dyDescent="0.25">
      <c r="A1037" s="8" t="str" cm="1">
        <f t="array" aca="1" ref="A1037" ca="1">IF(INDIRECT("'Student_Record 1'!A" &amp; ROW())="", "", INDIRECT("'Student_Record 1'!A" &amp; ROW()))</f>
        <v/>
      </c>
      <c r="B1037" s="8" t="str" cm="1">
        <f t="array" aca="1" ref="B1037" ca="1">IF(INDIRECT("'Student_Record 1'!C" &amp; ROW())="", "", INDIRECT("'Student_Record 1'!C" &amp; ROW()))</f>
        <v/>
      </c>
      <c r="C1037" s="8" t="str" cm="1">
        <f t="array" aca="1" ref="C1037" ca="1">IF(INDIRECT("'Student_Record 1'!E" &amp; ROW())="", "", INDIRECT("'Student_Record 1'!E" &amp; ROW()))</f>
        <v/>
      </c>
      <c r="D1037" s="8" t="str" cm="1">
        <f t="array" aca="1" ref="D1037" ca="1">IF(INDIRECT("'Student_Record 1'!G" &amp; ROW())="", "", INDIRECT("'Student_Record 1'!G" &amp; ROW()))</f>
        <v/>
      </c>
      <c r="E1037" s="8" t="str" cm="1">
        <f t="array" aca="1" ref="E1037" ca="1">IF(INDIRECT("'Student_Record 1'!I" &amp; ROW())="", "", INDIRECT("'Student_Record 1'!I" &amp; ROW()))</f>
        <v/>
      </c>
      <c r="F1037" s="8" t="str" cm="1">
        <f t="array" aca="1" ref="F1037" ca="1">IF(INDIRECT("'Student_Record 1'!O" &amp; ROW())="", "", INDIRECT("'Student_Record 1'!O" &amp; ROW()))</f>
        <v/>
      </c>
    </row>
    <row r="1038" spans="1:6" x14ac:dyDescent="0.25">
      <c r="A1038" s="8" t="str" cm="1">
        <f t="array" aca="1" ref="A1038" ca="1">IF(INDIRECT("'Student_Record 1'!A" &amp; ROW())="", "", INDIRECT("'Student_Record 1'!A" &amp; ROW()))</f>
        <v/>
      </c>
      <c r="B1038" s="8" t="str" cm="1">
        <f t="array" aca="1" ref="B1038" ca="1">IF(INDIRECT("'Student_Record 1'!C" &amp; ROW())="", "", INDIRECT("'Student_Record 1'!C" &amp; ROW()))</f>
        <v/>
      </c>
      <c r="C1038" s="8" t="str" cm="1">
        <f t="array" aca="1" ref="C1038" ca="1">IF(INDIRECT("'Student_Record 1'!E" &amp; ROW())="", "", INDIRECT("'Student_Record 1'!E" &amp; ROW()))</f>
        <v/>
      </c>
      <c r="D1038" s="8" t="str" cm="1">
        <f t="array" aca="1" ref="D1038" ca="1">IF(INDIRECT("'Student_Record 1'!G" &amp; ROW())="", "", INDIRECT("'Student_Record 1'!G" &amp; ROW()))</f>
        <v/>
      </c>
      <c r="E1038" s="8" t="str" cm="1">
        <f t="array" aca="1" ref="E1038" ca="1">IF(INDIRECT("'Student_Record 1'!I" &amp; ROW())="", "", INDIRECT("'Student_Record 1'!I" &amp; ROW()))</f>
        <v/>
      </c>
      <c r="F1038" s="8" t="str" cm="1">
        <f t="array" aca="1" ref="F1038" ca="1">IF(INDIRECT("'Student_Record 1'!O" &amp; ROW())="", "", INDIRECT("'Student_Record 1'!O" &amp; ROW()))</f>
        <v/>
      </c>
    </row>
    <row r="1039" spans="1:6" x14ac:dyDescent="0.25">
      <c r="A1039" s="8" t="str" cm="1">
        <f t="array" aca="1" ref="A1039" ca="1">IF(INDIRECT("'Student_Record 1'!A" &amp; ROW())="", "", INDIRECT("'Student_Record 1'!A" &amp; ROW()))</f>
        <v/>
      </c>
      <c r="B1039" s="8" t="str" cm="1">
        <f t="array" aca="1" ref="B1039" ca="1">IF(INDIRECT("'Student_Record 1'!C" &amp; ROW())="", "", INDIRECT("'Student_Record 1'!C" &amp; ROW()))</f>
        <v/>
      </c>
      <c r="C1039" s="8" t="str" cm="1">
        <f t="array" aca="1" ref="C1039" ca="1">IF(INDIRECT("'Student_Record 1'!E" &amp; ROW())="", "", INDIRECT("'Student_Record 1'!E" &amp; ROW()))</f>
        <v/>
      </c>
      <c r="D1039" s="8" t="str" cm="1">
        <f t="array" aca="1" ref="D1039" ca="1">IF(INDIRECT("'Student_Record 1'!G" &amp; ROW())="", "", INDIRECT("'Student_Record 1'!G" &amp; ROW()))</f>
        <v/>
      </c>
      <c r="E1039" s="8" t="str" cm="1">
        <f t="array" aca="1" ref="E1039" ca="1">IF(INDIRECT("'Student_Record 1'!I" &amp; ROW())="", "", INDIRECT("'Student_Record 1'!I" &amp; ROW()))</f>
        <v/>
      </c>
      <c r="F1039" s="8" t="str" cm="1">
        <f t="array" aca="1" ref="F1039" ca="1">IF(INDIRECT("'Student_Record 1'!O" &amp; ROW())="", "", INDIRECT("'Student_Record 1'!O" &amp; ROW()))</f>
        <v/>
      </c>
    </row>
    <row r="1040" spans="1:6" x14ac:dyDescent="0.25">
      <c r="A1040" s="8" t="str" cm="1">
        <f t="array" aca="1" ref="A1040" ca="1">IF(INDIRECT("'Student_Record 1'!A" &amp; ROW())="", "", INDIRECT("'Student_Record 1'!A" &amp; ROW()))</f>
        <v/>
      </c>
      <c r="B1040" s="8" t="str" cm="1">
        <f t="array" aca="1" ref="B1040" ca="1">IF(INDIRECT("'Student_Record 1'!C" &amp; ROW())="", "", INDIRECT("'Student_Record 1'!C" &amp; ROW()))</f>
        <v/>
      </c>
      <c r="C1040" s="8" t="str" cm="1">
        <f t="array" aca="1" ref="C1040" ca="1">IF(INDIRECT("'Student_Record 1'!E" &amp; ROW())="", "", INDIRECT("'Student_Record 1'!E" &amp; ROW()))</f>
        <v/>
      </c>
      <c r="D1040" s="8" t="str" cm="1">
        <f t="array" aca="1" ref="D1040" ca="1">IF(INDIRECT("'Student_Record 1'!G" &amp; ROW())="", "", INDIRECT("'Student_Record 1'!G" &amp; ROW()))</f>
        <v/>
      </c>
      <c r="E1040" s="8" t="str" cm="1">
        <f t="array" aca="1" ref="E1040" ca="1">IF(INDIRECT("'Student_Record 1'!I" &amp; ROW())="", "", INDIRECT("'Student_Record 1'!I" &amp; ROW()))</f>
        <v/>
      </c>
      <c r="F1040" s="8" t="str" cm="1">
        <f t="array" aca="1" ref="F1040" ca="1">IF(INDIRECT("'Student_Record 1'!O" &amp; ROW())="", "", INDIRECT("'Student_Record 1'!O" &amp; ROW()))</f>
        <v/>
      </c>
    </row>
    <row r="1041" spans="1:6" x14ac:dyDescent="0.25">
      <c r="A1041" s="8" t="str" cm="1">
        <f t="array" aca="1" ref="A1041" ca="1">IF(INDIRECT("'Student_Record 1'!A" &amp; ROW())="", "", INDIRECT("'Student_Record 1'!A" &amp; ROW()))</f>
        <v/>
      </c>
      <c r="B1041" s="8" t="str" cm="1">
        <f t="array" aca="1" ref="B1041" ca="1">IF(INDIRECT("'Student_Record 1'!C" &amp; ROW())="", "", INDIRECT("'Student_Record 1'!C" &amp; ROW()))</f>
        <v/>
      </c>
      <c r="C1041" s="8" t="str" cm="1">
        <f t="array" aca="1" ref="C1041" ca="1">IF(INDIRECT("'Student_Record 1'!E" &amp; ROW())="", "", INDIRECT("'Student_Record 1'!E" &amp; ROW()))</f>
        <v/>
      </c>
      <c r="D1041" s="8" t="str" cm="1">
        <f t="array" aca="1" ref="D1041" ca="1">IF(INDIRECT("'Student_Record 1'!G" &amp; ROW())="", "", INDIRECT("'Student_Record 1'!G" &amp; ROW()))</f>
        <v/>
      </c>
      <c r="E1041" s="8" t="str" cm="1">
        <f t="array" aca="1" ref="E1041" ca="1">IF(INDIRECT("'Student_Record 1'!I" &amp; ROW())="", "", INDIRECT("'Student_Record 1'!I" &amp; ROW()))</f>
        <v/>
      </c>
      <c r="F1041" s="8" t="str" cm="1">
        <f t="array" aca="1" ref="F1041" ca="1">IF(INDIRECT("'Student_Record 1'!O" &amp; ROW())="", "", INDIRECT("'Student_Record 1'!O" &amp; ROW()))</f>
        <v/>
      </c>
    </row>
    <row r="1042" spans="1:6" x14ac:dyDescent="0.25">
      <c r="A1042" s="8" t="str" cm="1">
        <f t="array" aca="1" ref="A1042" ca="1">IF(INDIRECT("'Student_Record 1'!A" &amp; ROW())="", "", INDIRECT("'Student_Record 1'!A" &amp; ROW()))</f>
        <v/>
      </c>
      <c r="B1042" s="8" t="str" cm="1">
        <f t="array" aca="1" ref="B1042" ca="1">IF(INDIRECT("'Student_Record 1'!C" &amp; ROW())="", "", INDIRECT("'Student_Record 1'!C" &amp; ROW()))</f>
        <v/>
      </c>
      <c r="C1042" s="8" t="str" cm="1">
        <f t="array" aca="1" ref="C1042" ca="1">IF(INDIRECT("'Student_Record 1'!E" &amp; ROW())="", "", INDIRECT("'Student_Record 1'!E" &amp; ROW()))</f>
        <v/>
      </c>
      <c r="D1042" s="8" t="str" cm="1">
        <f t="array" aca="1" ref="D1042" ca="1">IF(INDIRECT("'Student_Record 1'!G" &amp; ROW())="", "", INDIRECT("'Student_Record 1'!G" &amp; ROW()))</f>
        <v/>
      </c>
      <c r="E1042" s="8" t="str" cm="1">
        <f t="array" aca="1" ref="E1042" ca="1">IF(INDIRECT("'Student_Record 1'!I" &amp; ROW())="", "", INDIRECT("'Student_Record 1'!I" &amp; ROW()))</f>
        <v/>
      </c>
      <c r="F1042" s="8" t="str" cm="1">
        <f t="array" aca="1" ref="F1042" ca="1">IF(INDIRECT("'Student_Record 1'!O" &amp; ROW())="", "", INDIRECT("'Student_Record 1'!O" &amp; ROW()))</f>
        <v/>
      </c>
    </row>
    <row r="1043" spans="1:6" x14ac:dyDescent="0.25">
      <c r="A1043" s="8" t="str" cm="1">
        <f t="array" aca="1" ref="A1043" ca="1">IF(INDIRECT("'Student_Record 1'!A" &amp; ROW())="", "", INDIRECT("'Student_Record 1'!A" &amp; ROW()))</f>
        <v/>
      </c>
      <c r="B1043" s="8" t="str" cm="1">
        <f t="array" aca="1" ref="B1043" ca="1">IF(INDIRECT("'Student_Record 1'!C" &amp; ROW())="", "", INDIRECT("'Student_Record 1'!C" &amp; ROW()))</f>
        <v/>
      </c>
      <c r="C1043" s="8" t="str" cm="1">
        <f t="array" aca="1" ref="C1043" ca="1">IF(INDIRECT("'Student_Record 1'!E" &amp; ROW())="", "", INDIRECT("'Student_Record 1'!E" &amp; ROW()))</f>
        <v/>
      </c>
      <c r="D1043" s="8" t="str" cm="1">
        <f t="array" aca="1" ref="D1043" ca="1">IF(INDIRECT("'Student_Record 1'!G" &amp; ROW())="", "", INDIRECT("'Student_Record 1'!G" &amp; ROW()))</f>
        <v/>
      </c>
      <c r="E1043" s="8" t="str" cm="1">
        <f t="array" aca="1" ref="E1043" ca="1">IF(INDIRECT("'Student_Record 1'!I" &amp; ROW())="", "", INDIRECT("'Student_Record 1'!I" &amp; ROW()))</f>
        <v/>
      </c>
      <c r="F1043" s="8" t="str" cm="1">
        <f t="array" aca="1" ref="F1043" ca="1">IF(INDIRECT("'Student_Record 1'!O" &amp; ROW())="", "", INDIRECT("'Student_Record 1'!O" &amp; ROW()))</f>
        <v/>
      </c>
    </row>
    <row r="1044" spans="1:6" x14ac:dyDescent="0.25">
      <c r="A1044" s="8" t="str" cm="1">
        <f t="array" aca="1" ref="A1044" ca="1">IF(INDIRECT("'Student_Record 1'!A" &amp; ROW())="", "", INDIRECT("'Student_Record 1'!A" &amp; ROW()))</f>
        <v/>
      </c>
      <c r="B1044" s="8" t="str" cm="1">
        <f t="array" aca="1" ref="B1044" ca="1">IF(INDIRECT("'Student_Record 1'!C" &amp; ROW())="", "", INDIRECT("'Student_Record 1'!C" &amp; ROW()))</f>
        <v/>
      </c>
      <c r="C1044" s="8" t="str" cm="1">
        <f t="array" aca="1" ref="C1044" ca="1">IF(INDIRECT("'Student_Record 1'!E" &amp; ROW())="", "", INDIRECT("'Student_Record 1'!E" &amp; ROW()))</f>
        <v/>
      </c>
      <c r="D1044" s="8" t="str" cm="1">
        <f t="array" aca="1" ref="D1044" ca="1">IF(INDIRECT("'Student_Record 1'!G" &amp; ROW())="", "", INDIRECT("'Student_Record 1'!G" &amp; ROW()))</f>
        <v/>
      </c>
      <c r="E1044" s="8" t="str" cm="1">
        <f t="array" aca="1" ref="E1044" ca="1">IF(INDIRECT("'Student_Record 1'!I" &amp; ROW())="", "", INDIRECT("'Student_Record 1'!I" &amp; ROW()))</f>
        <v/>
      </c>
      <c r="F1044" s="8" t="str" cm="1">
        <f t="array" aca="1" ref="F1044" ca="1">IF(INDIRECT("'Student_Record 1'!O" &amp; ROW())="", "", INDIRECT("'Student_Record 1'!O" &amp; ROW()))</f>
        <v/>
      </c>
    </row>
    <row r="1045" spans="1:6" x14ac:dyDescent="0.25">
      <c r="A1045" s="8" t="str" cm="1">
        <f t="array" aca="1" ref="A1045" ca="1">IF(INDIRECT("'Student_Record 1'!A" &amp; ROW())="", "", INDIRECT("'Student_Record 1'!A" &amp; ROW()))</f>
        <v/>
      </c>
      <c r="B1045" s="8" t="str" cm="1">
        <f t="array" aca="1" ref="B1045" ca="1">IF(INDIRECT("'Student_Record 1'!C" &amp; ROW())="", "", INDIRECT("'Student_Record 1'!C" &amp; ROW()))</f>
        <v/>
      </c>
      <c r="C1045" s="8" t="str" cm="1">
        <f t="array" aca="1" ref="C1045" ca="1">IF(INDIRECT("'Student_Record 1'!E" &amp; ROW())="", "", INDIRECT("'Student_Record 1'!E" &amp; ROW()))</f>
        <v/>
      </c>
      <c r="D1045" s="8" t="str" cm="1">
        <f t="array" aca="1" ref="D1045" ca="1">IF(INDIRECT("'Student_Record 1'!G" &amp; ROW())="", "", INDIRECT("'Student_Record 1'!G" &amp; ROW()))</f>
        <v/>
      </c>
      <c r="E1045" s="8" t="str" cm="1">
        <f t="array" aca="1" ref="E1045" ca="1">IF(INDIRECT("'Student_Record 1'!I" &amp; ROW())="", "", INDIRECT("'Student_Record 1'!I" &amp; ROW()))</f>
        <v/>
      </c>
      <c r="F1045" s="8" t="str" cm="1">
        <f t="array" aca="1" ref="F1045" ca="1">IF(INDIRECT("'Student_Record 1'!O" &amp; ROW())="", "", INDIRECT("'Student_Record 1'!O" &amp; ROW()))</f>
        <v/>
      </c>
    </row>
    <row r="1046" spans="1:6" x14ac:dyDescent="0.25">
      <c r="A1046" s="8" t="str" cm="1">
        <f t="array" aca="1" ref="A1046" ca="1">IF(INDIRECT("'Student_Record 1'!A" &amp; ROW())="", "", INDIRECT("'Student_Record 1'!A" &amp; ROW()))</f>
        <v/>
      </c>
      <c r="B1046" s="8" t="str" cm="1">
        <f t="array" aca="1" ref="B1046" ca="1">IF(INDIRECT("'Student_Record 1'!C" &amp; ROW())="", "", INDIRECT("'Student_Record 1'!C" &amp; ROW()))</f>
        <v/>
      </c>
      <c r="C1046" s="8" t="str" cm="1">
        <f t="array" aca="1" ref="C1046" ca="1">IF(INDIRECT("'Student_Record 1'!E" &amp; ROW())="", "", INDIRECT("'Student_Record 1'!E" &amp; ROW()))</f>
        <v/>
      </c>
      <c r="D1046" s="8" t="str" cm="1">
        <f t="array" aca="1" ref="D1046" ca="1">IF(INDIRECT("'Student_Record 1'!G" &amp; ROW())="", "", INDIRECT("'Student_Record 1'!G" &amp; ROW()))</f>
        <v/>
      </c>
      <c r="E1046" s="8" t="str" cm="1">
        <f t="array" aca="1" ref="E1046" ca="1">IF(INDIRECT("'Student_Record 1'!I" &amp; ROW())="", "", INDIRECT("'Student_Record 1'!I" &amp; ROW()))</f>
        <v/>
      </c>
      <c r="F1046" s="8" t="str" cm="1">
        <f t="array" aca="1" ref="F1046" ca="1">IF(INDIRECT("'Student_Record 1'!O" &amp; ROW())="", "", INDIRECT("'Student_Record 1'!O" &amp; ROW()))</f>
        <v/>
      </c>
    </row>
    <row r="1047" spans="1:6" x14ac:dyDescent="0.25">
      <c r="A1047" s="8" t="str" cm="1">
        <f t="array" aca="1" ref="A1047" ca="1">IF(INDIRECT("'Student_Record 1'!A" &amp; ROW())="", "", INDIRECT("'Student_Record 1'!A" &amp; ROW()))</f>
        <v/>
      </c>
      <c r="B1047" s="8" t="str" cm="1">
        <f t="array" aca="1" ref="B1047" ca="1">IF(INDIRECT("'Student_Record 1'!C" &amp; ROW())="", "", INDIRECT("'Student_Record 1'!C" &amp; ROW()))</f>
        <v/>
      </c>
      <c r="C1047" s="8" t="str" cm="1">
        <f t="array" aca="1" ref="C1047" ca="1">IF(INDIRECT("'Student_Record 1'!E" &amp; ROW())="", "", INDIRECT("'Student_Record 1'!E" &amp; ROW()))</f>
        <v/>
      </c>
      <c r="D1047" s="8" t="str" cm="1">
        <f t="array" aca="1" ref="D1047" ca="1">IF(INDIRECT("'Student_Record 1'!G" &amp; ROW())="", "", INDIRECT("'Student_Record 1'!G" &amp; ROW()))</f>
        <v/>
      </c>
      <c r="E1047" s="8" t="str" cm="1">
        <f t="array" aca="1" ref="E1047" ca="1">IF(INDIRECT("'Student_Record 1'!I" &amp; ROW())="", "", INDIRECT("'Student_Record 1'!I" &amp; ROW()))</f>
        <v/>
      </c>
      <c r="F1047" s="8" t="str" cm="1">
        <f t="array" aca="1" ref="F1047" ca="1">IF(INDIRECT("'Student_Record 1'!O" &amp; ROW())="", "", INDIRECT("'Student_Record 1'!O" &amp; ROW()))</f>
        <v/>
      </c>
    </row>
    <row r="1048" spans="1:6" x14ac:dyDescent="0.25">
      <c r="A1048" s="8" t="str" cm="1">
        <f t="array" aca="1" ref="A1048" ca="1">IF(INDIRECT("'Student_Record 1'!A" &amp; ROW())="", "", INDIRECT("'Student_Record 1'!A" &amp; ROW()))</f>
        <v/>
      </c>
      <c r="B1048" s="8" t="str" cm="1">
        <f t="array" aca="1" ref="B1048" ca="1">IF(INDIRECT("'Student_Record 1'!C" &amp; ROW())="", "", INDIRECT("'Student_Record 1'!C" &amp; ROW()))</f>
        <v/>
      </c>
      <c r="C1048" s="8" t="str" cm="1">
        <f t="array" aca="1" ref="C1048" ca="1">IF(INDIRECT("'Student_Record 1'!E" &amp; ROW())="", "", INDIRECT("'Student_Record 1'!E" &amp; ROW()))</f>
        <v/>
      </c>
      <c r="D1048" s="8" t="str" cm="1">
        <f t="array" aca="1" ref="D1048" ca="1">IF(INDIRECT("'Student_Record 1'!G" &amp; ROW())="", "", INDIRECT("'Student_Record 1'!G" &amp; ROW()))</f>
        <v/>
      </c>
      <c r="E1048" s="8" t="str" cm="1">
        <f t="array" aca="1" ref="E1048" ca="1">IF(INDIRECT("'Student_Record 1'!I" &amp; ROW())="", "", INDIRECT("'Student_Record 1'!I" &amp; ROW()))</f>
        <v/>
      </c>
      <c r="F1048" s="8" t="str" cm="1">
        <f t="array" aca="1" ref="F1048" ca="1">IF(INDIRECT("'Student_Record 1'!O" &amp; ROW())="", "", INDIRECT("'Student_Record 1'!O" &amp; ROW()))</f>
        <v/>
      </c>
    </row>
    <row r="1049" spans="1:6" x14ac:dyDescent="0.25">
      <c r="A1049" s="8" t="str" cm="1">
        <f t="array" aca="1" ref="A1049" ca="1">IF(INDIRECT("'Student_Record 1'!A" &amp; ROW())="", "", INDIRECT("'Student_Record 1'!A" &amp; ROW()))</f>
        <v/>
      </c>
      <c r="B1049" s="8" t="str" cm="1">
        <f t="array" aca="1" ref="B1049" ca="1">IF(INDIRECT("'Student_Record 1'!C" &amp; ROW())="", "", INDIRECT("'Student_Record 1'!C" &amp; ROW()))</f>
        <v/>
      </c>
      <c r="C1049" s="8" t="str" cm="1">
        <f t="array" aca="1" ref="C1049" ca="1">IF(INDIRECT("'Student_Record 1'!E" &amp; ROW())="", "", INDIRECT("'Student_Record 1'!E" &amp; ROW()))</f>
        <v/>
      </c>
      <c r="D1049" s="8" t="str" cm="1">
        <f t="array" aca="1" ref="D1049" ca="1">IF(INDIRECT("'Student_Record 1'!G" &amp; ROW())="", "", INDIRECT("'Student_Record 1'!G" &amp; ROW()))</f>
        <v/>
      </c>
      <c r="E1049" s="8" t="str" cm="1">
        <f t="array" aca="1" ref="E1049" ca="1">IF(INDIRECT("'Student_Record 1'!I" &amp; ROW())="", "", INDIRECT("'Student_Record 1'!I" &amp; ROW()))</f>
        <v/>
      </c>
      <c r="F1049" s="8" t="str" cm="1">
        <f t="array" aca="1" ref="F1049" ca="1">IF(INDIRECT("'Student_Record 1'!O" &amp; ROW())="", "", INDIRECT("'Student_Record 1'!O" &amp; ROW()))</f>
        <v/>
      </c>
    </row>
    <row r="1050" spans="1:6" x14ac:dyDescent="0.25">
      <c r="A1050" s="8" t="str" cm="1">
        <f t="array" aca="1" ref="A1050" ca="1">IF(INDIRECT("'Student_Record 1'!A" &amp; ROW())="", "", INDIRECT("'Student_Record 1'!A" &amp; ROW()))</f>
        <v/>
      </c>
      <c r="B1050" s="8" t="str" cm="1">
        <f t="array" aca="1" ref="B1050" ca="1">IF(INDIRECT("'Student_Record 1'!C" &amp; ROW())="", "", INDIRECT("'Student_Record 1'!C" &amp; ROW()))</f>
        <v/>
      </c>
      <c r="C1050" s="8" t="str" cm="1">
        <f t="array" aca="1" ref="C1050" ca="1">IF(INDIRECT("'Student_Record 1'!E" &amp; ROW())="", "", INDIRECT("'Student_Record 1'!E" &amp; ROW()))</f>
        <v/>
      </c>
      <c r="D1050" s="8" t="str" cm="1">
        <f t="array" aca="1" ref="D1050" ca="1">IF(INDIRECT("'Student_Record 1'!G" &amp; ROW())="", "", INDIRECT("'Student_Record 1'!G" &amp; ROW()))</f>
        <v/>
      </c>
      <c r="E1050" s="8" t="str" cm="1">
        <f t="array" aca="1" ref="E1050" ca="1">IF(INDIRECT("'Student_Record 1'!I" &amp; ROW())="", "", INDIRECT("'Student_Record 1'!I" &amp; ROW()))</f>
        <v/>
      </c>
      <c r="F1050" s="8" t="str" cm="1">
        <f t="array" aca="1" ref="F1050" ca="1">IF(INDIRECT("'Student_Record 1'!O" &amp; ROW())="", "", INDIRECT("'Student_Record 1'!O" &amp; ROW()))</f>
        <v/>
      </c>
    </row>
    <row r="1051" spans="1:6" x14ac:dyDescent="0.25">
      <c r="A1051" s="8" t="str" cm="1">
        <f t="array" aca="1" ref="A1051" ca="1">IF(INDIRECT("'Student_Record 1'!A" &amp; ROW())="", "", INDIRECT("'Student_Record 1'!A" &amp; ROW()))</f>
        <v/>
      </c>
      <c r="B1051" s="8" t="str" cm="1">
        <f t="array" aca="1" ref="B1051" ca="1">IF(INDIRECT("'Student_Record 1'!C" &amp; ROW())="", "", INDIRECT("'Student_Record 1'!C" &amp; ROW()))</f>
        <v/>
      </c>
      <c r="C1051" s="8" t="str" cm="1">
        <f t="array" aca="1" ref="C1051" ca="1">IF(INDIRECT("'Student_Record 1'!E" &amp; ROW())="", "", INDIRECT("'Student_Record 1'!E" &amp; ROW()))</f>
        <v/>
      </c>
      <c r="D1051" s="8" t="str" cm="1">
        <f t="array" aca="1" ref="D1051" ca="1">IF(INDIRECT("'Student_Record 1'!G" &amp; ROW())="", "", INDIRECT("'Student_Record 1'!G" &amp; ROW()))</f>
        <v/>
      </c>
      <c r="E1051" s="8" t="str" cm="1">
        <f t="array" aca="1" ref="E1051" ca="1">IF(INDIRECT("'Student_Record 1'!I" &amp; ROW())="", "", INDIRECT("'Student_Record 1'!I" &amp; ROW()))</f>
        <v/>
      </c>
      <c r="F1051" s="8" t="str" cm="1">
        <f t="array" aca="1" ref="F1051" ca="1">IF(INDIRECT("'Student_Record 1'!O" &amp; ROW())="", "", INDIRECT("'Student_Record 1'!O" &amp; ROW()))</f>
        <v/>
      </c>
    </row>
    <row r="1052" spans="1:6" x14ac:dyDescent="0.25">
      <c r="A1052" s="8" t="str" cm="1">
        <f t="array" aca="1" ref="A1052" ca="1">IF(INDIRECT("'Student_Record 1'!A" &amp; ROW())="", "", INDIRECT("'Student_Record 1'!A" &amp; ROW()))</f>
        <v/>
      </c>
      <c r="B1052" s="8" t="str" cm="1">
        <f t="array" aca="1" ref="B1052" ca="1">IF(INDIRECT("'Student_Record 1'!C" &amp; ROW())="", "", INDIRECT("'Student_Record 1'!C" &amp; ROW()))</f>
        <v/>
      </c>
      <c r="C1052" s="8" t="str" cm="1">
        <f t="array" aca="1" ref="C1052" ca="1">IF(INDIRECT("'Student_Record 1'!E" &amp; ROW())="", "", INDIRECT("'Student_Record 1'!E" &amp; ROW()))</f>
        <v/>
      </c>
      <c r="D1052" s="8" t="str" cm="1">
        <f t="array" aca="1" ref="D1052" ca="1">IF(INDIRECT("'Student_Record 1'!G" &amp; ROW())="", "", INDIRECT("'Student_Record 1'!G" &amp; ROW()))</f>
        <v/>
      </c>
      <c r="E1052" s="8" t="str" cm="1">
        <f t="array" aca="1" ref="E1052" ca="1">IF(INDIRECT("'Student_Record 1'!I" &amp; ROW())="", "", INDIRECT("'Student_Record 1'!I" &amp; ROW()))</f>
        <v/>
      </c>
      <c r="F1052" s="8" t="str" cm="1">
        <f t="array" aca="1" ref="F1052" ca="1">IF(INDIRECT("'Student_Record 1'!O" &amp; ROW())="", "", INDIRECT("'Student_Record 1'!O" &amp; ROW()))</f>
        <v/>
      </c>
    </row>
    <row r="1053" spans="1:6" x14ac:dyDescent="0.25">
      <c r="A1053" s="8" t="str" cm="1">
        <f t="array" aca="1" ref="A1053" ca="1">IF(INDIRECT("'Student_Record 1'!A" &amp; ROW())="", "", INDIRECT("'Student_Record 1'!A" &amp; ROW()))</f>
        <v/>
      </c>
      <c r="B1053" s="8" t="str" cm="1">
        <f t="array" aca="1" ref="B1053" ca="1">IF(INDIRECT("'Student_Record 1'!C" &amp; ROW())="", "", INDIRECT("'Student_Record 1'!C" &amp; ROW()))</f>
        <v/>
      </c>
      <c r="C1053" s="8" t="str" cm="1">
        <f t="array" aca="1" ref="C1053" ca="1">IF(INDIRECT("'Student_Record 1'!E" &amp; ROW())="", "", INDIRECT("'Student_Record 1'!E" &amp; ROW()))</f>
        <v/>
      </c>
      <c r="D1053" s="8" t="str" cm="1">
        <f t="array" aca="1" ref="D1053" ca="1">IF(INDIRECT("'Student_Record 1'!G" &amp; ROW())="", "", INDIRECT("'Student_Record 1'!G" &amp; ROW()))</f>
        <v/>
      </c>
      <c r="E1053" s="8" t="str" cm="1">
        <f t="array" aca="1" ref="E1053" ca="1">IF(INDIRECT("'Student_Record 1'!I" &amp; ROW())="", "", INDIRECT("'Student_Record 1'!I" &amp; ROW()))</f>
        <v/>
      </c>
      <c r="F1053" s="8" t="str" cm="1">
        <f t="array" aca="1" ref="F1053" ca="1">IF(INDIRECT("'Student_Record 1'!O" &amp; ROW())="", "", INDIRECT("'Student_Record 1'!O" &amp; ROW()))</f>
        <v/>
      </c>
    </row>
    <row r="1054" spans="1:6" x14ac:dyDescent="0.25">
      <c r="A1054" s="8" t="str" cm="1">
        <f t="array" aca="1" ref="A1054" ca="1">IF(INDIRECT("'Student_Record 1'!A" &amp; ROW())="", "", INDIRECT("'Student_Record 1'!A" &amp; ROW()))</f>
        <v/>
      </c>
      <c r="B1054" s="8" t="str" cm="1">
        <f t="array" aca="1" ref="B1054" ca="1">IF(INDIRECT("'Student_Record 1'!C" &amp; ROW())="", "", INDIRECT("'Student_Record 1'!C" &amp; ROW()))</f>
        <v/>
      </c>
      <c r="C1054" s="8" t="str" cm="1">
        <f t="array" aca="1" ref="C1054" ca="1">IF(INDIRECT("'Student_Record 1'!E" &amp; ROW())="", "", INDIRECT("'Student_Record 1'!E" &amp; ROW()))</f>
        <v/>
      </c>
      <c r="D1054" s="8" t="str" cm="1">
        <f t="array" aca="1" ref="D1054" ca="1">IF(INDIRECT("'Student_Record 1'!G" &amp; ROW())="", "", INDIRECT("'Student_Record 1'!G" &amp; ROW()))</f>
        <v/>
      </c>
      <c r="E1054" s="8" t="str" cm="1">
        <f t="array" aca="1" ref="E1054" ca="1">IF(INDIRECT("'Student_Record 1'!I" &amp; ROW())="", "", INDIRECT("'Student_Record 1'!I" &amp; ROW()))</f>
        <v/>
      </c>
      <c r="F1054" s="8" t="str" cm="1">
        <f t="array" aca="1" ref="F1054" ca="1">IF(INDIRECT("'Student_Record 1'!O" &amp; ROW())="", "", INDIRECT("'Student_Record 1'!O" &amp; ROW()))</f>
        <v/>
      </c>
    </row>
    <row r="1055" spans="1:6" x14ac:dyDescent="0.25">
      <c r="A1055" s="8" t="str" cm="1">
        <f t="array" aca="1" ref="A1055" ca="1">IF(INDIRECT("'Student_Record 1'!A" &amp; ROW())="", "", INDIRECT("'Student_Record 1'!A" &amp; ROW()))</f>
        <v/>
      </c>
      <c r="B1055" s="8" t="str" cm="1">
        <f t="array" aca="1" ref="B1055" ca="1">IF(INDIRECT("'Student_Record 1'!C" &amp; ROW())="", "", INDIRECT("'Student_Record 1'!C" &amp; ROW()))</f>
        <v/>
      </c>
      <c r="C1055" s="8" t="str" cm="1">
        <f t="array" aca="1" ref="C1055" ca="1">IF(INDIRECT("'Student_Record 1'!E" &amp; ROW())="", "", INDIRECT("'Student_Record 1'!E" &amp; ROW()))</f>
        <v/>
      </c>
      <c r="D1055" s="8" t="str" cm="1">
        <f t="array" aca="1" ref="D1055" ca="1">IF(INDIRECT("'Student_Record 1'!G" &amp; ROW())="", "", INDIRECT("'Student_Record 1'!G" &amp; ROW()))</f>
        <v/>
      </c>
      <c r="E1055" s="8" t="str" cm="1">
        <f t="array" aca="1" ref="E1055" ca="1">IF(INDIRECT("'Student_Record 1'!I" &amp; ROW())="", "", INDIRECT("'Student_Record 1'!I" &amp; ROW()))</f>
        <v/>
      </c>
      <c r="F1055" s="8" t="str" cm="1">
        <f t="array" aca="1" ref="F1055" ca="1">IF(INDIRECT("'Student_Record 1'!O" &amp; ROW())="", "", INDIRECT("'Student_Record 1'!O" &amp; ROW()))</f>
        <v/>
      </c>
    </row>
    <row r="1056" spans="1:6" x14ac:dyDescent="0.25">
      <c r="A1056" s="8" t="str" cm="1">
        <f t="array" aca="1" ref="A1056" ca="1">IF(INDIRECT("'Student_Record 1'!A" &amp; ROW())="", "", INDIRECT("'Student_Record 1'!A" &amp; ROW()))</f>
        <v/>
      </c>
      <c r="B1056" s="8" t="str" cm="1">
        <f t="array" aca="1" ref="B1056" ca="1">IF(INDIRECT("'Student_Record 1'!C" &amp; ROW())="", "", INDIRECT("'Student_Record 1'!C" &amp; ROW()))</f>
        <v/>
      </c>
      <c r="C1056" s="8" t="str" cm="1">
        <f t="array" aca="1" ref="C1056" ca="1">IF(INDIRECT("'Student_Record 1'!E" &amp; ROW())="", "", INDIRECT("'Student_Record 1'!E" &amp; ROW()))</f>
        <v/>
      </c>
      <c r="D1056" s="8" t="str" cm="1">
        <f t="array" aca="1" ref="D1056" ca="1">IF(INDIRECT("'Student_Record 1'!G" &amp; ROW())="", "", INDIRECT("'Student_Record 1'!G" &amp; ROW()))</f>
        <v/>
      </c>
      <c r="E1056" s="8" t="str" cm="1">
        <f t="array" aca="1" ref="E1056" ca="1">IF(INDIRECT("'Student_Record 1'!I" &amp; ROW())="", "", INDIRECT("'Student_Record 1'!I" &amp; ROW()))</f>
        <v/>
      </c>
      <c r="F1056" s="8" t="str" cm="1">
        <f t="array" aca="1" ref="F1056" ca="1">IF(INDIRECT("'Student_Record 1'!O" &amp; ROW())="", "", INDIRECT("'Student_Record 1'!O" &amp; ROW()))</f>
        <v/>
      </c>
    </row>
    <row r="1057" spans="1:6" x14ac:dyDescent="0.25">
      <c r="A1057" s="8" t="str" cm="1">
        <f t="array" aca="1" ref="A1057" ca="1">IF(INDIRECT("'Student_Record 1'!A" &amp; ROW())="", "", INDIRECT("'Student_Record 1'!A" &amp; ROW()))</f>
        <v/>
      </c>
      <c r="B1057" s="8" t="str" cm="1">
        <f t="array" aca="1" ref="B1057" ca="1">IF(INDIRECT("'Student_Record 1'!C" &amp; ROW())="", "", INDIRECT("'Student_Record 1'!C" &amp; ROW()))</f>
        <v/>
      </c>
      <c r="C1057" s="8" t="str" cm="1">
        <f t="array" aca="1" ref="C1057" ca="1">IF(INDIRECT("'Student_Record 1'!E" &amp; ROW())="", "", INDIRECT("'Student_Record 1'!E" &amp; ROW()))</f>
        <v/>
      </c>
      <c r="D1057" s="8" t="str" cm="1">
        <f t="array" aca="1" ref="D1057" ca="1">IF(INDIRECT("'Student_Record 1'!G" &amp; ROW())="", "", INDIRECT("'Student_Record 1'!G" &amp; ROW()))</f>
        <v/>
      </c>
      <c r="E1057" s="8" t="str" cm="1">
        <f t="array" aca="1" ref="E1057" ca="1">IF(INDIRECT("'Student_Record 1'!I" &amp; ROW())="", "", INDIRECT("'Student_Record 1'!I" &amp; ROW()))</f>
        <v/>
      </c>
      <c r="F1057" s="8" t="str" cm="1">
        <f t="array" aca="1" ref="F1057" ca="1">IF(INDIRECT("'Student_Record 1'!O" &amp; ROW())="", "", INDIRECT("'Student_Record 1'!O" &amp; ROW()))</f>
        <v/>
      </c>
    </row>
    <row r="1058" spans="1:6" x14ac:dyDescent="0.25">
      <c r="A1058" s="8" t="str" cm="1">
        <f t="array" aca="1" ref="A1058" ca="1">IF(INDIRECT("'Student_Record 1'!A" &amp; ROW())="", "", INDIRECT("'Student_Record 1'!A" &amp; ROW()))</f>
        <v/>
      </c>
      <c r="B1058" s="8" t="str" cm="1">
        <f t="array" aca="1" ref="B1058" ca="1">IF(INDIRECT("'Student_Record 1'!C" &amp; ROW())="", "", INDIRECT("'Student_Record 1'!C" &amp; ROW()))</f>
        <v/>
      </c>
      <c r="C1058" s="8" t="str" cm="1">
        <f t="array" aca="1" ref="C1058" ca="1">IF(INDIRECT("'Student_Record 1'!E" &amp; ROW())="", "", INDIRECT("'Student_Record 1'!E" &amp; ROW()))</f>
        <v/>
      </c>
      <c r="D1058" s="8" t="str" cm="1">
        <f t="array" aca="1" ref="D1058" ca="1">IF(INDIRECT("'Student_Record 1'!G" &amp; ROW())="", "", INDIRECT("'Student_Record 1'!G" &amp; ROW()))</f>
        <v/>
      </c>
      <c r="E1058" s="8" t="str" cm="1">
        <f t="array" aca="1" ref="E1058" ca="1">IF(INDIRECT("'Student_Record 1'!I" &amp; ROW())="", "", INDIRECT("'Student_Record 1'!I" &amp; ROW()))</f>
        <v/>
      </c>
      <c r="F1058" s="8" t="str" cm="1">
        <f t="array" aca="1" ref="F1058" ca="1">IF(INDIRECT("'Student_Record 1'!O" &amp; ROW())="", "", INDIRECT("'Student_Record 1'!O" &amp; ROW()))</f>
        <v/>
      </c>
    </row>
    <row r="1059" spans="1:6" x14ac:dyDescent="0.25">
      <c r="A1059" s="8" t="str" cm="1">
        <f t="array" aca="1" ref="A1059" ca="1">IF(INDIRECT("'Student_Record 1'!A" &amp; ROW())="", "", INDIRECT("'Student_Record 1'!A" &amp; ROW()))</f>
        <v/>
      </c>
      <c r="B1059" s="8" t="str" cm="1">
        <f t="array" aca="1" ref="B1059" ca="1">IF(INDIRECT("'Student_Record 1'!C" &amp; ROW())="", "", INDIRECT("'Student_Record 1'!C" &amp; ROW()))</f>
        <v/>
      </c>
      <c r="C1059" s="8" t="str" cm="1">
        <f t="array" aca="1" ref="C1059" ca="1">IF(INDIRECT("'Student_Record 1'!E" &amp; ROW())="", "", INDIRECT("'Student_Record 1'!E" &amp; ROW()))</f>
        <v/>
      </c>
      <c r="D1059" s="8" t="str" cm="1">
        <f t="array" aca="1" ref="D1059" ca="1">IF(INDIRECT("'Student_Record 1'!G" &amp; ROW())="", "", INDIRECT("'Student_Record 1'!G" &amp; ROW()))</f>
        <v/>
      </c>
      <c r="E1059" s="8" t="str" cm="1">
        <f t="array" aca="1" ref="E1059" ca="1">IF(INDIRECT("'Student_Record 1'!I" &amp; ROW())="", "", INDIRECT("'Student_Record 1'!I" &amp; ROW()))</f>
        <v/>
      </c>
      <c r="F1059" s="8" t="str" cm="1">
        <f t="array" aca="1" ref="F1059" ca="1">IF(INDIRECT("'Student_Record 1'!O" &amp; ROW())="", "", INDIRECT("'Student_Record 1'!O" &amp; ROW()))</f>
        <v/>
      </c>
    </row>
    <row r="1060" spans="1:6" x14ac:dyDescent="0.25">
      <c r="A1060" s="8" t="str" cm="1">
        <f t="array" aca="1" ref="A1060" ca="1">IF(INDIRECT("'Student_Record 1'!A" &amp; ROW())="", "", INDIRECT("'Student_Record 1'!A" &amp; ROW()))</f>
        <v/>
      </c>
      <c r="B1060" s="8" t="str" cm="1">
        <f t="array" aca="1" ref="B1060" ca="1">IF(INDIRECT("'Student_Record 1'!C" &amp; ROW())="", "", INDIRECT("'Student_Record 1'!C" &amp; ROW()))</f>
        <v/>
      </c>
      <c r="C1060" s="8" t="str" cm="1">
        <f t="array" aca="1" ref="C1060" ca="1">IF(INDIRECT("'Student_Record 1'!E" &amp; ROW())="", "", INDIRECT("'Student_Record 1'!E" &amp; ROW()))</f>
        <v/>
      </c>
      <c r="D1060" s="8" t="str" cm="1">
        <f t="array" aca="1" ref="D1060" ca="1">IF(INDIRECT("'Student_Record 1'!G" &amp; ROW())="", "", INDIRECT("'Student_Record 1'!G" &amp; ROW()))</f>
        <v/>
      </c>
      <c r="E1060" s="8" t="str" cm="1">
        <f t="array" aca="1" ref="E1060" ca="1">IF(INDIRECT("'Student_Record 1'!I" &amp; ROW())="", "", INDIRECT("'Student_Record 1'!I" &amp; ROW()))</f>
        <v/>
      </c>
      <c r="F1060" s="8" t="str" cm="1">
        <f t="array" aca="1" ref="F1060" ca="1">IF(INDIRECT("'Student_Record 1'!O" &amp; ROW())="", "", INDIRECT("'Student_Record 1'!O" &amp; ROW()))</f>
        <v/>
      </c>
    </row>
    <row r="1061" spans="1:6" x14ac:dyDescent="0.25">
      <c r="A1061" s="8" t="str" cm="1">
        <f t="array" aca="1" ref="A1061" ca="1">IF(INDIRECT("'Student_Record 1'!A" &amp; ROW())="", "", INDIRECT("'Student_Record 1'!A" &amp; ROW()))</f>
        <v/>
      </c>
      <c r="B1061" s="8" t="str" cm="1">
        <f t="array" aca="1" ref="B1061" ca="1">IF(INDIRECT("'Student_Record 1'!C" &amp; ROW())="", "", INDIRECT("'Student_Record 1'!C" &amp; ROW()))</f>
        <v/>
      </c>
      <c r="C1061" s="8" t="str" cm="1">
        <f t="array" aca="1" ref="C1061" ca="1">IF(INDIRECT("'Student_Record 1'!E" &amp; ROW())="", "", INDIRECT("'Student_Record 1'!E" &amp; ROW()))</f>
        <v/>
      </c>
      <c r="D1061" s="8" t="str" cm="1">
        <f t="array" aca="1" ref="D1061" ca="1">IF(INDIRECT("'Student_Record 1'!G" &amp; ROW())="", "", INDIRECT("'Student_Record 1'!G" &amp; ROW()))</f>
        <v/>
      </c>
      <c r="E1061" s="8" t="str" cm="1">
        <f t="array" aca="1" ref="E1061" ca="1">IF(INDIRECT("'Student_Record 1'!I" &amp; ROW())="", "", INDIRECT("'Student_Record 1'!I" &amp; ROW()))</f>
        <v/>
      </c>
      <c r="F1061" s="8" t="str" cm="1">
        <f t="array" aca="1" ref="F1061" ca="1">IF(INDIRECT("'Student_Record 1'!O" &amp; ROW())="", "", INDIRECT("'Student_Record 1'!O" &amp; ROW()))</f>
        <v/>
      </c>
    </row>
    <row r="1062" spans="1:6" x14ac:dyDescent="0.25">
      <c r="A1062" s="8" t="str" cm="1">
        <f t="array" aca="1" ref="A1062" ca="1">IF(INDIRECT("'Student_Record 1'!A" &amp; ROW())="", "", INDIRECT("'Student_Record 1'!A" &amp; ROW()))</f>
        <v/>
      </c>
      <c r="B1062" s="8" t="str" cm="1">
        <f t="array" aca="1" ref="B1062" ca="1">IF(INDIRECT("'Student_Record 1'!C" &amp; ROW())="", "", INDIRECT("'Student_Record 1'!C" &amp; ROW()))</f>
        <v/>
      </c>
      <c r="C1062" s="8" t="str" cm="1">
        <f t="array" aca="1" ref="C1062" ca="1">IF(INDIRECT("'Student_Record 1'!E" &amp; ROW())="", "", INDIRECT("'Student_Record 1'!E" &amp; ROW()))</f>
        <v/>
      </c>
      <c r="D1062" s="8" t="str" cm="1">
        <f t="array" aca="1" ref="D1062" ca="1">IF(INDIRECT("'Student_Record 1'!G" &amp; ROW())="", "", INDIRECT("'Student_Record 1'!G" &amp; ROW()))</f>
        <v/>
      </c>
      <c r="E1062" s="8" t="str" cm="1">
        <f t="array" aca="1" ref="E1062" ca="1">IF(INDIRECT("'Student_Record 1'!I" &amp; ROW())="", "", INDIRECT("'Student_Record 1'!I" &amp; ROW()))</f>
        <v/>
      </c>
      <c r="F1062" s="8" t="str" cm="1">
        <f t="array" aca="1" ref="F1062" ca="1">IF(INDIRECT("'Student_Record 1'!O" &amp; ROW())="", "", INDIRECT("'Student_Record 1'!O" &amp; ROW()))</f>
        <v/>
      </c>
    </row>
    <row r="1063" spans="1:6" x14ac:dyDescent="0.25">
      <c r="A1063" s="8" t="str" cm="1">
        <f t="array" aca="1" ref="A1063" ca="1">IF(INDIRECT("'Student_Record 1'!A" &amp; ROW())="", "", INDIRECT("'Student_Record 1'!A" &amp; ROW()))</f>
        <v/>
      </c>
      <c r="B1063" s="8" t="str" cm="1">
        <f t="array" aca="1" ref="B1063" ca="1">IF(INDIRECT("'Student_Record 1'!C" &amp; ROW())="", "", INDIRECT("'Student_Record 1'!C" &amp; ROW()))</f>
        <v/>
      </c>
      <c r="C1063" s="8" t="str" cm="1">
        <f t="array" aca="1" ref="C1063" ca="1">IF(INDIRECT("'Student_Record 1'!E" &amp; ROW())="", "", INDIRECT("'Student_Record 1'!E" &amp; ROW()))</f>
        <v/>
      </c>
      <c r="D1063" s="8" t="str" cm="1">
        <f t="array" aca="1" ref="D1063" ca="1">IF(INDIRECT("'Student_Record 1'!G" &amp; ROW())="", "", INDIRECT("'Student_Record 1'!G" &amp; ROW()))</f>
        <v/>
      </c>
      <c r="E1063" s="8" t="str" cm="1">
        <f t="array" aca="1" ref="E1063" ca="1">IF(INDIRECT("'Student_Record 1'!I" &amp; ROW())="", "", INDIRECT("'Student_Record 1'!I" &amp; ROW()))</f>
        <v/>
      </c>
      <c r="F1063" s="8" t="str" cm="1">
        <f t="array" aca="1" ref="F1063" ca="1">IF(INDIRECT("'Student_Record 1'!O" &amp; ROW())="", "", INDIRECT("'Student_Record 1'!O" &amp; ROW()))</f>
        <v/>
      </c>
    </row>
    <row r="1064" spans="1:6" x14ac:dyDescent="0.25">
      <c r="A1064" s="8" t="str" cm="1">
        <f t="array" aca="1" ref="A1064" ca="1">IF(INDIRECT("'Student_Record 1'!A" &amp; ROW())="", "", INDIRECT("'Student_Record 1'!A" &amp; ROW()))</f>
        <v/>
      </c>
      <c r="B1064" s="8" t="str" cm="1">
        <f t="array" aca="1" ref="B1064" ca="1">IF(INDIRECT("'Student_Record 1'!C" &amp; ROW())="", "", INDIRECT("'Student_Record 1'!C" &amp; ROW()))</f>
        <v/>
      </c>
      <c r="C1064" s="8" t="str" cm="1">
        <f t="array" aca="1" ref="C1064" ca="1">IF(INDIRECT("'Student_Record 1'!E" &amp; ROW())="", "", INDIRECT("'Student_Record 1'!E" &amp; ROW()))</f>
        <v/>
      </c>
      <c r="D1064" s="8" t="str" cm="1">
        <f t="array" aca="1" ref="D1064" ca="1">IF(INDIRECT("'Student_Record 1'!G" &amp; ROW())="", "", INDIRECT("'Student_Record 1'!G" &amp; ROW()))</f>
        <v/>
      </c>
      <c r="E1064" s="8" t="str" cm="1">
        <f t="array" aca="1" ref="E1064" ca="1">IF(INDIRECT("'Student_Record 1'!I" &amp; ROW())="", "", INDIRECT("'Student_Record 1'!I" &amp; ROW()))</f>
        <v/>
      </c>
      <c r="F1064" s="8" t="str" cm="1">
        <f t="array" aca="1" ref="F1064" ca="1">IF(INDIRECT("'Student_Record 1'!O" &amp; ROW())="", "", INDIRECT("'Student_Record 1'!O" &amp; ROW()))</f>
        <v/>
      </c>
    </row>
    <row r="1065" spans="1:6" x14ac:dyDescent="0.25">
      <c r="A1065" s="8" t="str" cm="1">
        <f t="array" aca="1" ref="A1065" ca="1">IF(INDIRECT("'Student_Record 1'!A" &amp; ROW())="", "", INDIRECT("'Student_Record 1'!A" &amp; ROW()))</f>
        <v/>
      </c>
      <c r="B1065" s="8" t="str" cm="1">
        <f t="array" aca="1" ref="B1065" ca="1">IF(INDIRECT("'Student_Record 1'!C" &amp; ROW())="", "", INDIRECT("'Student_Record 1'!C" &amp; ROW()))</f>
        <v/>
      </c>
      <c r="C1065" s="8" t="str" cm="1">
        <f t="array" aca="1" ref="C1065" ca="1">IF(INDIRECT("'Student_Record 1'!E" &amp; ROW())="", "", INDIRECT("'Student_Record 1'!E" &amp; ROW()))</f>
        <v/>
      </c>
      <c r="D1065" s="8" t="str" cm="1">
        <f t="array" aca="1" ref="D1065" ca="1">IF(INDIRECT("'Student_Record 1'!G" &amp; ROW())="", "", INDIRECT("'Student_Record 1'!G" &amp; ROW()))</f>
        <v/>
      </c>
      <c r="E1065" s="8" t="str" cm="1">
        <f t="array" aca="1" ref="E1065" ca="1">IF(INDIRECT("'Student_Record 1'!I" &amp; ROW())="", "", INDIRECT("'Student_Record 1'!I" &amp; ROW()))</f>
        <v/>
      </c>
      <c r="F1065" s="8" t="str" cm="1">
        <f t="array" aca="1" ref="F1065" ca="1">IF(INDIRECT("'Student_Record 1'!O" &amp; ROW())="", "", INDIRECT("'Student_Record 1'!O" &amp; ROW()))</f>
        <v/>
      </c>
    </row>
    <row r="1066" spans="1:6" x14ac:dyDescent="0.25">
      <c r="A1066" s="8" t="str" cm="1">
        <f t="array" aca="1" ref="A1066" ca="1">IF(INDIRECT("'Student_Record 1'!A" &amp; ROW())="", "", INDIRECT("'Student_Record 1'!A" &amp; ROW()))</f>
        <v/>
      </c>
      <c r="B1066" s="8" t="str" cm="1">
        <f t="array" aca="1" ref="B1066" ca="1">IF(INDIRECT("'Student_Record 1'!C" &amp; ROW())="", "", INDIRECT("'Student_Record 1'!C" &amp; ROW()))</f>
        <v/>
      </c>
      <c r="C1066" s="8" t="str" cm="1">
        <f t="array" aca="1" ref="C1066" ca="1">IF(INDIRECT("'Student_Record 1'!E" &amp; ROW())="", "", INDIRECT("'Student_Record 1'!E" &amp; ROW()))</f>
        <v/>
      </c>
      <c r="D1066" s="8" t="str" cm="1">
        <f t="array" aca="1" ref="D1066" ca="1">IF(INDIRECT("'Student_Record 1'!G" &amp; ROW())="", "", INDIRECT("'Student_Record 1'!G" &amp; ROW()))</f>
        <v/>
      </c>
      <c r="E1066" s="8" t="str" cm="1">
        <f t="array" aca="1" ref="E1066" ca="1">IF(INDIRECT("'Student_Record 1'!I" &amp; ROW())="", "", INDIRECT("'Student_Record 1'!I" &amp; ROW()))</f>
        <v/>
      </c>
      <c r="F1066" s="8" t="str" cm="1">
        <f t="array" aca="1" ref="F1066" ca="1">IF(INDIRECT("'Student_Record 1'!O" &amp; ROW())="", "", INDIRECT("'Student_Record 1'!O" &amp; ROW()))</f>
        <v/>
      </c>
    </row>
    <row r="1067" spans="1:6" x14ac:dyDescent="0.25">
      <c r="A1067" s="8" t="str" cm="1">
        <f t="array" aca="1" ref="A1067" ca="1">IF(INDIRECT("'Student_Record 1'!A" &amp; ROW())="", "", INDIRECT("'Student_Record 1'!A" &amp; ROW()))</f>
        <v/>
      </c>
      <c r="B1067" s="8" t="str" cm="1">
        <f t="array" aca="1" ref="B1067" ca="1">IF(INDIRECT("'Student_Record 1'!C" &amp; ROW())="", "", INDIRECT("'Student_Record 1'!C" &amp; ROW()))</f>
        <v/>
      </c>
      <c r="C1067" s="8" t="str" cm="1">
        <f t="array" aca="1" ref="C1067" ca="1">IF(INDIRECT("'Student_Record 1'!E" &amp; ROW())="", "", INDIRECT("'Student_Record 1'!E" &amp; ROW()))</f>
        <v/>
      </c>
      <c r="D1067" s="8" t="str" cm="1">
        <f t="array" aca="1" ref="D1067" ca="1">IF(INDIRECT("'Student_Record 1'!G" &amp; ROW())="", "", INDIRECT("'Student_Record 1'!G" &amp; ROW()))</f>
        <v/>
      </c>
      <c r="E1067" s="8" t="str" cm="1">
        <f t="array" aca="1" ref="E1067" ca="1">IF(INDIRECT("'Student_Record 1'!I" &amp; ROW())="", "", INDIRECT("'Student_Record 1'!I" &amp; ROW()))</f>
        <v/>
      </c>
      <c r="F1067" s="8" t="str" cm="1">
        <f t="array" aca="1" ref="F1067" ca="1">IF(INDIRECT("'Student_Record 1'!O" &amp; ROW())="", "", INDIRECT("'Student_Record 1'!O" &amp; ROW()))</f>
        <v/>
      </c>
    </row>
    <row r="1068" spans="1:6" x14ac:dyDescent="0.25">
      <c r="A1068" s="8" t="str" cm="1">
        <f t="array" aca="1" ref="A1068" ca="1">IF(INDIRECT("'Student_Record 1'!A" &amp; ROW())="", "", INDIRECT("'Student_Record 1'!A" &amp; ROW()))</f>
        <v/>
      </c>
      <c r="B1068" s="8" t="str" cm="1">
        <f t="array" aca="1" ref="B1068" ca="1">IF(INDIRECT("'Student_Record 1'!C" &amp; ROW())="", "", INDIRECT("'Student_Record 1'!C" &amp; ROW()))</f>
        <v/>
      </c>
      <c r="C1068" s="8" t="str" cm="1">
        <f t="array" aca="1" ref="C1068" ca="1">IF(INDIRECT("'Student_Record 1'!E" &amp; ROW())="", "", INDIRECT("'Student_Record 1'!E" &amp; ROW()))</f>
        <v/>
      </c>
      <c r="D1068" s="8" t="str" cm="1">
        <f t="array" aca="1" ref="D1068" ca="1">IF(INDIRECT("'Student_Record 1'!G" &amp; ROW())="", "", INDIRECT("'Student_Record 1'!G" &amp; ROW()))</f>
        <v/>
      </c>
      <c r="E1068" s="8" t="str" cm="1">
        <f t="array" aca="1" ref="E1068" ca="1">IF(INDIRECT("'Student_Record 1'!I" &amp; ROW())="", "", INDIRECT("'Student_Record 1'!I" &amp; ROW()))</f>
        <v/>
      </c>
      <c r="F1068" s="8" t="str" cm="1">
        <f t="array" aca="1" ref="F1068" ca="1">IF(INDIRECT("'Student_Record 1'!O" &amp; ROW())="", "", INDIRECT("'Student_Record 1'!O" &amp; ROW()))</f>
        <v/>
      </c>
    </row>
    <row r="1069" spans="1:6" x14ac:dyDescent="0.25">
      <c r="A1069" s="8" t="str" cm="1">
        <f t="array" aca="1" ref="A1069" ca="1">IF(INDIRECT("'Student_Record 1'!A" &amp; ROW())="", "", INDIRECT("'Student_Record 1'!A" &amp; ROW()))</f>
        <v/>
      </c>
      <c r="B1069" s="8" t="str" cm="1">
        <f t="array" aca="1" ref="B1069" ca="1">IF(INDIRECT("'Student_Record 1'!C" &amp; ROW())="", "", INDIRECT("'Student_Record 1'!C" &amp; ROW()))</f>
        <v/>
      </c>
      <c r="C1069" s="8" t="str" cm="1">
        <f t="array" aca="1" ref="C1069" ca="1">IF(INDIRECT("'Student_Record 1'!E" &amp; ROW())="", "", INDIRECT("'Student_Record 1'!E" &amp; ROW()))</f>
        <v/>
      </c>
      <c r="D1069" s="8" t="str" cm="1">
        <f t="array" aca="1" ref="D1069" ca="1">IF(INDIRECT("'Student_Record 1'!G" &amp; ROW())="", "", INDIRECT("'Student_Record 1'!G" &amp; ROW()))</f>
        <v/>
      </c>
      <c r="E1069" s="8" t="str" cm="1">
        <f t="array" aca="1" ref="E1069" ca="1">IF(INDIRECT("'Student_Record 1'!I" &amp; ROW())="", "", INDIRECT("'Student_Record 1'!I" &amp; ROW()))</f>
        <v/>
      </c>
      <c r="F1069" s="8" t="str" cm="1">
        <f t="array" aca="1" ref="F1069" ca="1">IF(INDIRECT("'Student_Record 1'!O" &amp; ROW())="", "", INDIRECT("'Student_Record 1'!O" &amp; ROW()))</f>
        <v/>
      </c>
    </row>
    <row r="1070" spans="1:6" x14ac:dyDescent="0.25">
      <c r="A1070" s="8" t="str" cm="1">
        <f t="array" aca="1" ref="A1070" ca="1">IF(INDIRECT("'Student_Record 1'!A" &amp; ROW())="", "", INDIRECT("'Student_Record 1'!A" &amp; ROW()))</f>
        <v/>
      </c>
      <c r="B1070" s="8" t="str" cm="1">
        <f t="array" aca="1" ref="B1070" ca="1">IF(INDIRECT("'Student_Record 1'!C" &amp; ROW())="", "", INDIRECT("'Student_Record 1'!C" &amp; ROW()))</f>
        <v/>
      </c>
      <c r="C1070" s="8" t="str" cm="1">
        <f t="array" aca="1" ref="C1070" ca="1">IF(INDIRECT("'Student_Record 1'!E" &amp; ROW())="", "", INDIRECT("'Student_Record 1'!E" &amp; ROW()))</f>
        <v/>
      </c>
      <c r="D1070" s="8" t="str" cm="1">
        <f t="array" aca="1" ref="D1070" ca="1">IF(INDIRECT("'Student_Record 1'!G" &amp; ROW())="", "", INDIRECT("'Student_Record 1'!G" &amp; ROW()))</f>
        <v/>
      </c>
      <c r="E1070" s="8" t="str" cm="1">
        <f t="array" aca="1" ref="E1070" ca="1">IF(INDIRECT("'Student_Record 1'!I" &amp; ROW())="", "", INDIRECT("'Student_Record 1'!I" &amp; ROW()))</f>
        <v/>
      </c>
      <c r="F1070" s="8" t="str" cm="1">
        <f t="array" aca="1" ref="F1070" ca="1">IF(INDIRECT("'Student_Record 1'!O" &amp; ROW())="", "", INDIRECT("'Student_Record 1'!O" &amp; ROW()))</f>
        <v/>
      </c>
    </row>
    <row r="1071" spans="1:6" x14ac:dyDescent="0.25">
      <c r="A1071" s="8" t="str" cm="1">
        <f t="array" aca="1" ref="A1071" ca="1">IF(INDIRECT("'Student_Record 1'!A" &amp; ROW())="", "", INDIRECT("'Student_Record 1'!A" &amp; ROW()))</f>
        <v/>
      </c>
      <c r="B1071" s="8" t="str" cm="1">
        <f t="array" aca="1" ref="B1071" ca="1">IF(INDIRECT("'Student_Record 1'!C" &amp; ROW())="", "", INDIRECT("'Student_Record 1'!C" &amp; ROW()))</f>
        <v/>
      </c>
      <c r="C1071" s="8" t="str" cm="1">
        <f t="array" aca="1" ref="C1071" ca="1">IF(INDIRECT("'Student_Record 1'!E" &amp; ROW())="", "", INDIRECT("'Student_Record 1'!E" &amp; ROW()))</f>
        <v/>
      </c>
      <c r="D1071" s="8" t="str" cm="1">
        <f t="array" aca="1" ref="D1071" ca="1">IF(INDIRECT("'Student_Record 1'!G" &amp; ROW())="", "", INDIRECT("'Student_Record 1'!G" &amp; ROW()))</f>
        <v/>
      </c>
      <c r="E1071" s="8" t="str" cm="1">
        <f t="array" aca="1" ref="E1071" ca="1">IF(INDIRECT("'Student_Record 1'!I" &amp; ROW())="", "", INDIRECT("'Student_Record 1'!I" &amp; ROW()))</f>
        <v/>
      </c>
      <c r="F1071" s="8" t="str" cm="1">
        <f t="array" aca="1" ref="F1071" ca="1">IF(INDIRECT("'Student_Record 1'!O" &amp; ROW())="", "", INDIRECT("'Student_Record 1'!O" &amp; ROW()))</f>
        <v/>
      </c>
    </row>
    <row r="1072" spans="1:6" x14ac:dyDescent="0.25">
      <c r="A1072" s="8" t="str" cm="1">
        <f t="array" aca="1" ref="A1072" ca="1">IF(INDIRECT("'Student_Record 1'!A" &amp; ROW())="", "", INDIRECT("'Student_Record 1'!A" &amp; ROW()))</f>
        <v/>
      </c>
      <c r="B1072" s="8" t="str" cm="1">
        <f t="array" aca="1" ref="B1072" ca="1">IF(INDIRECT("'Student_Record 1'!C" &amp; ROW())="", "", INDIRECT("'Student_Record 1'!C" &amp; ROW()))</f>
        <v/>
      </c>
      <c r="C1072" s="8" t="str" cm="1">
        <f t="array" aca="1" ref="C1072" ca="1">IF(INDIRECT("'Student_Record 1'!E" &amp; ROW())="", "", INDIRECT("'Student_Record 1'!E" &amp; ROW()))</f>
        <v/>
      </c>
      <c r="D1072" s="8" t="str" cm="1">
        <f t="array" aca="1" ref="D1072" ca="1">IF(INDIRECT("'Student_Record 1'!G" &amp; ROW())="", "", INDIRECT("'Student_Record 1'!G" &amp; ROW()))</f>
        <v/>
      </c>
      <c r="E1072" s="8" t="str" cm="1">
        <f t="array" aca="1" ref="E1072" ca="1">IF(INDIRECT("'Student_Record 1'!I" &amp; ROW())="", "", INDIRECT("'Student_Record 1'!I" &amp; ROW()))</f>
        <v/>
      </c>
      <c r="F1072" s="8" t="str" cm="1">
        <f t="array" aca="1" ref="F1072" ca="1">IF(INDIRECT("'Student_Record 1'!O" &amp; ROW())="", "", INDIRECT("'Student_Record 1'!O" &amp; ROW()))</f>
        <v/>
      </c>
    </row>
    <row r="1073" spans="1:6" x14ac:dyDescent="0.25">
      <c r="A1073" s="8" t="str" cm="1">
        <f t="array" aca="1" ref="A1073" ca="1">IF(INDIRECT("'Student_Record 1'!A" &amp; ROW())="", "", INDIRECT("'Student_Record 1'!A" &amp; ROW()))</f>
        <v/>
      </c>
      <c r="B1073" s="8" t="str" cm="1">
        <f t="array" aca="1" ref="B1073" ca="1">IF(INDIRECT("'Student_Record 1'!C" &amp; ROW())="", "", INDIRECT("'Student_Record 1'!C" &amp; ROW()))</f>
        <v/>
      </c>
      <c r="C1073" s="8" t="str" cm="1">
        <f t="array" aca="1" ref="C1073" ca="1">IF(INDIRECT("'Student_Record 1'!E" &amp; ROW())="", "", INDIRECT("'Student_Record 1'!E" &amp; ROW()))</f>
        <v/>
      </c>
      <c r="D1073" s="8" t="str" cm="1">
        <f t="array" aca="1" ref="D1073" ca="1">IF(INDIRECT("'Student_Record 1'!G" &amp; ROW())="", "", INDIRECT("'Student_Record 1'!G" &amp; ROW()))</f>
        <v/>
      </c>
      <c r="E1073" s="8" t="str" cm="1">
        <f t="array" aca="1" ref="E1073" ca="1">IF(INDIRECT("'Student_Record 1'!I" &amp; ROW())="", "", INDIRECT("'Student_Record 1'!I" &amp; ROW()))</f>
        <v/>
      </c>
      <c r="F1073" s="8" t="str" cm="1">
        <f t="array" aca="1" ref="F1073" ca="1">IF(INDIRECT("'Student_Record 1'!O" &amp; ROW())="", "", INDIRECT("'Student_Record 1'!O" &amp; ROW()))</f>
        <v/>
      </c>
    </row>
    <row r="1074" spans="1:6" x14ac:dyDescent="0.25">
      <c r="A1074" s="8" t="str" cm="1">
        <f t="array" aca="1" ref="A1074" ca="1">IF(INDIRECT("'Student_Record 1'!A" &amp; ROW())="", "", INDIRECT("'Student_Record 1'!A" &amp; ROW()))</f>
        <v/>
      </c>
      <c r="B1074" s="8" t="str" cm="1">
        <f t="array" aca="1" ref="B1074" ca="1">IF(INDIRECT("'Student_Record 1'!C" &amp; ROW())="", "", INDIRECT("'Student_Record 1'!C" &amp; ROW()))</f>
        <v/>
      </c>
      <c r="C1074" s="8" t="str" cm="1">
        <f t="array" aca="1" ref="C1074" ca="1">IF(INDIRECT("'Student_Record 1'!E" &amp; ROW())="", "", INDIRECT("'Student_Record 1'!E" &amp; ROW()))</f>
        <v/>
      </c>
      <c r="D1074" s="8" t="str" cm="1">
        <f t="array" aca="1" ref="D1074" ca="1">IF(INDIRECT("'Student_Record 1'!G" &amp; ROW())="", "", INDIRECT("'Student_Record 1'!G" &amp; ROW()))</f>
        <v/>
      </c>
      <c r="E1074" s="8" t="str" cm="1">
        <f t="array" aca="1" ref="E1074" ca="1">IF(INDIRECT("'Student_Record 1'!I" &amp; ROW())="", "", INDIRECT("'Student_Record 1'!I" &amp; ROW()))</f>
        <v/>
      </c>
      <c r="F1074" s="8" t="str" cm="1">
        <f t="array" aca="1" ref="F1074" ca="1">IF(INDIRECT("'Student_Record 1'!O" &amp; ROW())="", "", INDIRECT("'Student_Record 1'!O" &amp; ROW()))</f>
        <v/>
      </c>
    </row>
    <row r="1075" spans="1:6" x14ac:dyDescent="0.25">
      <c r="A1075" s="8" t="str" cm="1">
        <f t="array" aca="1" ref="A1075" ca="1">IF(INDIRECT("'Student_Record 1'!A" &amp; ROW())="", "", INDIRECT("'Student_Record 1'!A" &amp; ROW()))</f>
        <v/>
      </c>
      <c r="B1075" s="8" t="str" cm="1">
        <f t="array" aca="1" ref="B1075" ca="1">IF(INDIRECT("'Student_Record 1'!C" &amp; ROW())="", "", INDIRECT("'Student_Record 1'!C" &amp; ROW()))</f>
        <v/>
      </c>
      <c r="C1075" s="8" t="str" cm="1">
        <f t="array" aca="1" ref="C1075" ca="1">IF(INDIRECT("'Student_Record 1'!E" &amp; ROW())="", "", INDIRECT("'Student_Record 1'!E" &amp; ROW()))</f>
        <v/>
      </c>
      <c r="D1075" s="8" t="str" cm="1">
        <f t="array" aca="1" ref="D1075" ca="1">IF(INDIRECT("'Student_Record 1'!G" &amp; ROW())="", "", INDIRECT("'Student_Record 1'!G" &amp; ROW()))</f>
        <v/>
      </c>
      <c r="E1075" s="8" t="str" cm="1">
        <f t="array" aca="1" ref="E1075" ca="1">IF(INDIRECT("'Student_Record 1'!I" &amp; ROW())="", "", INDIRECT("'Student_Record 1'!I" &amp; ROW()))</f>
        <v/>
      </c>
      <c r="F1075" s="8" t="str" cm="1">
        <f t="array" aca="1" ref="F1075" ca="1">IF(INDIRECT("'Student_Record 1'!O" &amp; ROW())="", "", INDIRECT("'Student_Record 1'!O" &amp; ROW()))</f>
        <v/>
      </c>
    </row>
    <row r="1076" spans="1:6" x14ac:dyDescent="0.25">
      <c r="A1076" s="8" t="str" cm="1">
        <f t="array" aca="1" ref="A1076" ca="1">IF(INDIRECT("'Student_Record 1'!A" &amp; ROW())="", "", INDIRECT("'Student_Record 1'!A" &amp; ROW()))</f>
        <v/>
      </c>
      <c r="B1076" s="8" t="str" cm="1">
        <f t="array" aca="1" ref="B1076" ca="1">IF(INDIRECT("'Student_Record 1'!C" &amp; ROW())="", "", INDIRECT("'Student_Record 1'!C" &amp; ROW()))</f>
        <v/>
      </c>
      <c r="C1076" s="8" t="str" cm="1">
        <f t="array" aca="1" ref="C1076" ca="1">IF(INDIRECT("'Student_Record 1'!E" &amp; ROW())="", "", INDIRECT("'Student_Record 1'!E" &amp; ROW()))</f>
        <v/>
      </c>
      <c r="D1076" s="8" t="str" cm="1">
        <f t="array" aca="1" ref="D1076" ca="1">IF(INDIRECT("'Student_Record 1'!G" &amp; ROW())="", "", INDIRECT("'Student_Record 1'!G" &amp; ROW()))</f>
        <v/>
      </c>
      <c r="E1076" s="8" t="str" cm="1">
        <f t="array" aca="1" ref="E1076" ca="1">IF(INDIRECT("'Student_Record 1'!I" &amp; ROW())="", "", INDIRECT("'Student_Record 1'!I" &amp; ROW()))</f>
        <v/>
      </c>
      <c r="F1076" s="8" t="str" cm="1">
        <f t="array" aca="1" ref="F1076" ca="1">IF(INDIRECT("'Student_Record 1'!O" &amp; ROW())="", "", INDIRECT("'Student_Record 1'!O" &amp; ROW()))</f>
        <v/>
      </c>
    </row>
    <row r="1077" spans="1:6" x14ac:dyDescent="0.25">
      <c r="A1077" s="8" t="str" cm="1">
        <f t="array" aca="1" ref="A1077" ca="1">IF(INDIRECT("'Student_Record 1'!A" &amp; ROW())="", "", INDIRECT("'Student_Record 1'!A" &amp; ROW()))</f>
        <v/>
      </c>
      <c r="B1077" s="8" t="str" cm="1">
        <f t="array" aca="1" ref="B1077" ca="1">IF(INDIRECT("'Student_Record 1'!C" &amp; ROW())="", "", INDIRECT("'Student_Record 1'!C" &amp; ROW()))</f>
        <v/>
      </c>
      <c r="C1077" s="8" t="str" cm="1">
        <f t="array" aca="1" ref="C1077" ca="1">IF(INDIRECT("'Student_Record 1'!E" &amp; ROW())="", "", INDIRECT("'Student_Record 1'!E" &amp; ROW()))</f>
        <v/>
      </c>
      <c r="D1077" s="8" t="str" cm="1">
        <f t="array" aca="1" ref="D1077" ca="1">IF(INDIRECT("'Student_Record 1'!G" &amp; ROW())="", "", INDIRECT("'Student_Record 1'!G" &amp; ROW()))</f>
        <v/>
      </c>
      <c r="E1077" s="8" t="str" cm="1">
        <f t="array" aca="1" ref="E1077" ca="1">IF(INDIRECT("'Student_Record 1'!I" &amp; ROW())="", "", INDIRECT("'Student_Record 1'!I" &amp; ROW()))</f>
        <v/>
      </c>
      <c r="F1077" s="8" t="str" cm="1">
        <f t="array" aca="1" ref="F1077" ca="1">IF(INDIRECT("'Student_Record 1'!O" &amp; ROW())="", "", INDIRECT("'Student_Record 1'!O" &amp; ROW()))</f>
        <v/>
      </c>
    </row>
    <row r="1078" spans="1:6" x14ac:dyDescent="0.25">
      <c r="A1078" s="8" t="str" cm="1">
        <f t="array" aca="1" ref="A1078" ca="1">IF(INDIRECT("'Student_Record 1'!A" &amp; ROW())="", "", INDIRECT("'Student_Record 1'!A" &amp; ROW()))</f>
        <v/>
      </c>
      <c r="B1078" s="8" t="str" cm="1">
        <f t="array" aca="1" ref="B1078" ca="1">IF(INDIRECT("'Student_Record 1'!C" &amp; ROW())="", "", INDIRECT("'Student_Record 1'!C" &amp; ROW()))</f>
        <v/>
      </c>
      <c r="C1078" s="8" t="str" cm="1">
        <f t="array" aca="1" ref="C1078" ca="1">IF(INDIRECT("'Student_Record 1'!E" &amp; ROW())="", "", INDIRECT("'Student_Record 1'!E" &amp; ROW()))</f>
        <v/>
      </c>
      <c r="D1078" s="8" t="str" cm="1">
        <f t="array" aca="1" ref="D1078" ca="1">IF(INDIRECT("'Student_Record 1'!G" &amp; ROW())="", "", INDIRECT("'Student_Record 1'!G" &amp; ROW()))</f>
        <v/>
      </c>
      <c r="E1078" s="8" t="str" cm="1">
        <f t="array" aca="1" ref="E1078" ca="1">IF(INDIRECT("'Student_Record 1'!I" &amp; ROW())="", "", INDIRECT("'Student_Record 1'!I" &amp; ROW()))</f>
        <v/>
      </c>
      <c r="F1078" s="8" t="str" cm="1">
        <f t="array" aca="1" ref="F1078" ca="1">IF(INDIRECT("'Student_Record 1'!O" &amp; ROW())="", "", INDIRECT("'Student_Record 1'!O" &amp; ROW()))</f>
        <v/>
      </c>
    </row>
    <row r="1079" spans="1:6" x14ac:dyDescent="0.25">
      <c r="A1079" s="8" t="str" cm="1">
        <f t="array" aca="1" ref="A1079" ca="1">IF(INDIRECT("'Student_Record 1'!A" &amp; ROW())="", "", INDIRECT("'Student_Record 1'!A" &amp; ROW()))</f>
        <v/>
      </c>
      <c r="B1079" s="8" t="str" cm="1">
        <f t="array" aca="1" ref="B1079" ca="1">IF(INDIRECT("'Student_Record 1'!C" &amp; ROW())="", "", INDIRECT("'Student_Record 1'!C" &amp; ROW()))</f>
        <v/>
      </c>
      <c r="C1079" s="8" t="str" cm="1">
        <f t="array" aca="1" ref="C1079" ca="1">IF(INDIRECT("'Student_Record 1'!E" &amp; ROW())="", "", INDIRECT("'Student_Record 1'!E" &amp; ROW()))</f>
        <v/>
      </c>
      <c r="D1079" s="8" t="str" cm="1">
        <f t="array" aca="1" ref="D1079" ca="1">IF(INDIRECT("'Student_Record 1'!G" &amp; ROW())="", "", INDIRECT("'Student_Record 1'!G" &amp; ROW()))</f>
        <v/>
      </c>
      <c r="E1079" s="8" t="str" cm="1">
        <f t="array" aca="1" ref="E1079" ca="1">IF(INDIRECT("'Student_Record 1'!I" &amp; ROW())="", "", INDIRECT("'Student_Record 1'!I" &amp; ROW()))</f>
        <v/>
      </c>
      <c r="F1079" s="8" t="str" cm="1">
        <f t="array" aca="1" ref="F1079" ca="1">IF(INDIRECT("'Student_Record 1'!O" &amp; ROW())="", "", INDIRECT("'Student_Record 1'!O" &amp; ROW()))</f>
        <v/>
      </c>
    </row>
    <row r="1080" spans="1:6" x14ac:dyDescent="0.25">
      <c r="A1080" s="8" t="str" cm="1">
        <f t="array" aca="1" ref="A1080" ca="1">IF(INDIRECT("'Student_Record 1'!A" &amp; ROW())="", "", INDIRECT("'Student_Record 1'!A" &amp; ROW()))</f>
        <v/>
      </c>
      <c r="B1080" s="8" t="str" cm="1">
        <f t="array" aca="1" ref="B1080" ca="1">IF(INDIRECT("'Student_Record 1'!C" &amp; ROW())="", "", INDIRECT("'Student_Record 1'!C" &amp; ROW()))</f>
        <v/>
      </c>
      <c r="C1080" s="8" t="str" cm="1">
        <f t="array" aca="1" ref="C1080" ca="1">IF(INDIRECT("'Student_Record 1'!E" &amp; ROW())="", "", INDIRECT("'Student_Record 1'!E" &amp; ROW()))</f>
        <v/>
      </c>
      <c r="D1080" s="8" t="str" cm="1">
        <f t="array" aca="1" ref="D1080" ca="1">IF(INDIRECT("'Student_Record 1'!G" &amp; ROW())="", "", INDIRECT("'Student_Record 1'!G" &amp; ROW()))</f>
        <v/>
      </c>
      <c r="E1080" s="8" t="str" cm="1">
        <f t="array" aca="1" ref="E1080" ca="1">IF(INDIRECT("'Student_Record 1'!I" &amp; ROW())="", "", INDIRECT("'Student_Record 1'!I" &amp; ROW()))</f>
        <v/>
      </c>
      <c r="F1080" s="8" t="str" cm="1">
        <f t="array" aca="1" ref="F1080" ca="1">IF(INDIRECT("'Student_Record 1'!O" &amp; ROW())="", "", INDIRECT("'Student_Record 1'!O" &amp; ROW()))</f>
        <v/>
      </c>
    </row>
    <row r="1081" spans="1:6" x14ac:dyDescent="0.25">
      <c r="A1081" s="8" t="str" cm="1">
        <f t="array" aca="1" ref="A1081" ca="1">IF(INDIRECT("'Student_Record 1'!A" &amp; ROW())="", "", INDIRECT("'Student_Record 1'!A" &amp; ROW()))</f>
        <v/>
      </c>
      <c r="B1081" s="8" t="str" cm="1">
        <f t="array" aca="1" ref="B1081" ca="1">IF(INDIRECT("'Student_Record 1'!C" &amp; ROW())="", "", INDIRECT("'Student_Record 1'!C" &amp; ROW()))</f>
        <v/>
      </c>
      <c r="C1081" s="8" t="str" cm="1">
        <f t="array" aca="1" ref="C1081" ca="1">IF(INDIRECT("'Student_Record 1'!E" &amp; ROW())="", "", INDIRECT("'Student_Record 1'!E" &amp; ROW()))</f>
        <v/>
      </c>
      <c r="D1081" s="8" t="str" cm="1">
        <f t="array" aca="1" ref="D1081" ca="1">IF(INDIRECT("'Student_Record 1'!G" &amp; ROW())="", "", INDIRECT("'Student_Record 1'!G" &amp; ROW()))</f>
        <v/>
      </c>
      <c r="E1081" s="8" t="str" cm="1">
        <f t="array" aca="1" ref="E1081" ca="1">IF(INDIRECT("'Student_Record 1'!I" &amp; ROW())="", "", INDIRECT("'Student_Record 1'!I" &amp; ROW()))</f>
        <v/>
      </c>
      <c r="F1081" s="8" t="str" cm="1">
        <f t="array" aca="1" ref="F1081" ca="1">IF(INDIRECT("'Student_Record 1'!O" &amp; ROW())="", "", INDIRECT("'Student_Record 1'!O" &amp; ROW()))</f>
        <v/>
      </c>
    </row>
    <row r="1082" spans="1:6" x14ac:dyDescent="0.25">
      <c r="A1082" s="8" t="str" cm="1">
        <f t="array" aca="1" ref="A1082" ca="1">IF(INDIRECT("'Student_Record 1'!A" &amp; ROW())="", "", INDIRECT("'Student_Record 1'!A" &amp; ROW()))</f>
        <v/>
      </c>
      <c r="B1082" s="8" t="str" cm="1">
        <f t="array" aca="1" ref="B1082" ca="1">IF(INDIRECT("'Student_Record 1'!C" &amp; ROW())="", "", INDIRECT("'Student_Record 1'!C" &amp; ROW()))</f>
        <v/>
      </c>
      <c r="C1082" s="8" t="str" cm="1">
        <f t="array" aca="1" ref="C1082" ca="1">IF(INDIRECT("'Student_Record 1'!E" &amp; ROW())="", "", INDIRECT("'Student_Record 1'!E" &amp; ROW()))</f>
        <v/>
      </c>
      <c r="D1082" s="8" t="str" cm="1">
        <f t="array" aca="1" ref="D1082" ca="1">IF(INDIRECT("'Student_Record 1'!G" &amp; ROW())="", "", INDIRECT("'Student_Record 1'!G" &amp; ROW()))</f>
        <v/>
      </c>
      <c r="E1082" s="8" t="str" cm="1">
        <f t="array" aca="1" ref="E1082" ca="1">IF(INDIRECT("'Student_Record 1'!I" &amp; ROW())="", "", INDIRECT("'Student_Record 1'!I" &amp; ROW()))</f>
        <v/>
      </c>
      <c r="F1082" s="8" t="str" cm="1">
        <f t="array" aca="1" ref="F1082" ca="1">IF(INDIRECT("'Student_Record 1'!O" &amp; ROW())="", "", INDIRECT("'Student_Record 1'!O" &amp; ROW()))</f>
        <v/>
      </c>
    </row>
    <row r="1083" spans="1:6" x14ac:dyDescent="0.25">
      <c r="A1083" s="8" t="str" cm="1">
        <f t="array" aca="1" ref="A1083" ca="1">IF(INDIRECT("'Student_Record 1'!A" &amp; ROW())="", "", INDIRECT("'Student_Record 1'!A" &amp; ROW()))</f>
        <v/>
      </c>
      <c r="B1083" s="8" t="str" cm="1">
        <f t="array" aca="1" ref="B1083" ca="1">IF(INDIRECT("'Student_Record 1'!C" &amp; ROW())="", "", INDIRECT("'Student_Record 1'!C" &amp; ROW()))</f>
        <v/>
      </c>
      <c r="C1083" s="8" t="str" cm="1">
        <f t="array" aca="1" ref="C1083" ca="1">IF(INDIRECT("'Student_Record 1'!E" &amp; ROW())="", "", INDIRECT("'Student_Record 1'!E" &amp; ROW()))</f>
        <v/>
      </c>
      <c r="D1083" s="8" t="str" cm="1">
        <f t="array" aca="1" ref="D1083" ca="1">IF(INDIRECT("'Student_Record 1'!G" &amp; ROW())="", "", INDIRECT("'Student_Record 1'!G" &amp; ROW()))</f>
        <v/>
      </c>
      <c r="E1083" s="8" t="str" cm="1">
        <f t="array" aca="1" ref="E1083" ca="1">IF(INDIRECT("'Student_Record 1'!I" &amp; ROW())="", "", INDIRECT("'Student_Record 1'!I" &amp; ROW()))</f>
        <v/>
      </c>
      <c r="F1083" s="8" t="str" cm="1">
        <f t="array" aca="1" ref="F1083" ca="1">IF(INDIRECT("'Student_Record 1'!O" &amp; ROW())="", "", INDIRECT("'Student_Record 1'!O" &amp; ROW()))</f>
        <v/>
      </c>
    </row>
    <row r="1084" spans="1:6" x14ac:dyDescent="0.25">
      <c r="A1084" s="8" t="str" cm="1">
        <f t="array" aca="1" ref="A1084" ca="1">IF(INDIRECT("'Student_Record 1'!A" &amp; ROW())="", "", INDIRECT("'Student_Record 1'!A" &amp; ROW()))</f>
        <v/>
      </c>
      <c r="B1084" s="8" t="str" cm="1">
        <f t="array" aca="1" ref="B1084" ca="1">IF(INDIRECT("'Student_Record 1'!C" &amp; ROW())="", "", INDIRECT("'Student_Record 1'!C" &amp; ROW()))</f>
        <v/>
      </c>
      <c r="C1084" s="8" t="str" cm="1">
        <f t="array" aca="1" ref="C1084" ca="1">IF(INDIRECT("'Student_Record 1'!E" &amp; ROW())="", "", INDIRECT("'Student_Record 1'!E" &amp; ROW()))</f>
        <v/>
      </c>
      <c r="D1084" s="8" t="str" cm="1">
        <f t="array" aca="1" ref="D1084" ca="1">IF(INDIRECT("'Student_Record 1'!G" &amp; ROW())="", "", INDIRECT("'Student_Record 1'!G" &amp; ROW()))</f>
        <v/>
      </c>
      <c r="E1084" s="8" t="str" cm="1">
        <f t="array" aca="1" ref="E1084" ca="1">IF(INDIRECT("'Student_Record 1'!I" &amp; ROW())="", "", INDIRECT("'Student_Record 1'!I" &amp; ROW()))</f>
        <v/>
      </c>
      <c r="F1084" s="8" t="str" cm="1">
        <f t="array" aca="1" ref="F1084" ca="1">IF(INDIRECT("'Student_Record 1'!O" &amp; ROW())="", "", INDIRECT("'Student_Record 1'!O" &amp; ROW()))</f>
        <v/>
      </c>
    </row>
    <row r="1085" spans="1:6" x14ac:dyDescent="0.25">
      <c r="A1085" s="8" t="str" cm="1">
        <f t="array" aca="1" ref="A1085" ca="1">IF(INDIRECT("'Student_Record 1'!A" &amp; ROW())="", "", INDIRECT("'Student_Record 1'!A" &amp; ROW()))</f>
        <v/>
      </c>
      <c r="B1085" s="8" t="str" cm="1">
        <f t="array" aca="1" ref="B1085" ca="1">IF(INDIRECT("'Student_Record 1'!C" &amp; ROW())="", "", INDIRECT("'Student_Record 1'!C" &amp; ROW()))</f>
        <v/>
      </c>
      <c r="C1085" s="8" t="str" cm="1">
        <f t="array" aca="1" ref="C1085" ca="1">IF(INDIRECT("'Student_Record 1'!E" &amp; ROW())="", "", INDIRECT("'Student_Record 1'!E" &amp; ROW()))</f>
        <v/>
      </c>
      <c r="D1085" s="8" t="str" cm="1">
        <f t="array" aca="1" ref="D1085" ca="1">IF(INDIRECT("'Student_Record 1'!G" &amp; ROW())="", "", INDIRECT("'Student_Record 1'!G" &amp; ROW()))</f>
        <v/>
      </c>
      <c r="E1085" s="8" t="str" cm="1">
        <f t="array" aca="1" ref="E1085" ca="1">IF(INDIRECT("'Student_Record 1'!I" &amp; ROW())="", "", INDIRECT("'Student_Record 1'!I" &amp; ROW()))</f>
        <v/>
      </c>
      <c r="F1085" s="8" t="str" cm="1">
        <f t="array" aca="1" ref="F1085" ca="1">IF(INDIRECT("'Student_Record 1'!O" &amp; ROW())="", "", INDIRECT("'Student_Record 1'!O" &amp; ROW()))</f>
        <v/>
      </c>
    </row>
    <row r="1086" spans="1:6" x14ac:dyDescent="0.25">
      <c r="A1086" s="8" t="str" cm="1">
        <f t="array" aca="1" ref="A1086" ca="1">IF(INDIRECT("'Student_Record 1'!A" &amp; ROW())="", "", INDIRECT("'Student_Record 1'!A" &amp; ROW()))</f>
        <v/>
      </c>
      <c r="B1086" s="8" t="str" cm="1">
        <f t="array" aca="1" ref="B1086" ca="1">IF(INDIRECT("'Student_Record 1'!C" &amp; ROW())="", "", INDIRECT("'Student_Record 1'!C" &amp; ROW()))</f>
        <v/>
      </c>
      <c r="C1086" s="8" t="str" cm="1">
        <f t="array" aca="1" ref="C1086" ca="1">IF(INDIRECT("'Student_Record 1'!E" &amp; ROW())="", "", INDIRECT("'Student_Record 1'!E" &amp; ROW()))</f>
        <v/>
      </c>
      <c r="D1086" s="8" t="str" cm="1">
        <f t="array" aca="1" ref="D1086" ca="1">IF(INDIRECT("'Student_Record 1'!G" &amp; ROW())="", "", INDIRECT("'Student_Record 1'!G" &amp; ROW()))</f>
        <v/>
      </c>
      <c r="E1086" s="8" t="str" cm="1">
        <f t="array" aca="1" ref="E1086" ca="1">IF(INDIRECT("'Student_Record 1'!I" &amp; ROW())="", "", INDIRECT("'Student_Record 1'!I" &amp; ROW()))</f>
        <v/>
      </c>
      <c r="F1086" s="8" t="str" cm="1">
        <f t="array" aca="1" ref="F1086" ca="1">IF(INDIRECT("'Student_Record 1'!O" &amp; ROW())="", "", INDIRECT("'Student_Record 1'!O" &amp; ROW()))</f>
        <v/>
      </c>
    </row>
    <row r="1087" spans="1:6" x14ac:dyDescent="0.25">
      <c r="A1087" s="8" t="str" cm="1">
        <f t="array" aca="1" ref="A1087" ca="1">IF(INDIRECT("'Student_Record 1'!A" &amp; ROW())="", "", INDIRECT("'Student_Record 1'!A" &amp; ROW()))</f>
        <v/>
      </c>
      <c r="B1087" s="8" t="str" cm="1">
        <f t="array" aca="1" ref="B1087" ca="1">IF(INDIRECT("'Student_Record 1'!C" &amp; ROW())="", "", INDIRECT("'Student_Record 1'!C" &amp; ROW()))</f>
        <v/>
      </c>
      <c r="C1087" s="8" t="str" cm="1">
        <f t="array" aca="1" ref="C1087" ca="1">IF(INDIRECT("'Student_Record 1'!E" &amp; ROW())="", "", INDIRECT("'Student_Record 1'!E" &amp; ROW()))</f>
        <v/>
      </c>
      <c r="D1087" s="8" t="str" cm="1">
        <f t="array" aca="1" ref="D1087" ca="1">IF(INDIRECT("'Student_Record 1'!G" &amp; ROW())="", "", INDIRECT("'Student_Record 1'!G" &amp; ROW()))</f>
        <v/>
      </c>
      <c r="E1087" s="8" t="str" cm="1">
        <f t="array" aca="1" ref="E1087" ca="1">IF(INDIRECT("'Student_Record 1'!I" &amp; ROW())="", "", INDIRECT("'Student_Record 1'!I" &amp; ROW()))</f>
        <v/>
      </c>
      <c r="F1087" s="8" t="str" cm="1">
        <f t="array" aca="1" ref="F1087" ca="1">IF(INDIRECT("'Student_Record 1'!O" &amp; ROW())="", "", INDIRECT("'Student_Record 1'!O" &amp; ROW()))</f>
        <v/>
      </c>
    </row>
    <row r="1088" spans="1:6" x14ac:dyDescent="0.25">
      <c r="A1088" s="8" t="str" cm="1">
        <f t="array" aca="1" ref="A1088" ca="1">IF(INDIRECT("'Student_Record 1'!A" &amp; ROW())="", "", INDIRECT("'Student_Record 1'!A" &amp; ROW()))</f>
        <v/>
      </c>
      <c r="B1088" s="8" t="str" cm="1">
        <f t="array" aca="1" ref="B1088" ca="1">IF(INDIRECT("'Student_Record 1'!C" &amp; ROW())="", "", INDIRECT("'Student_Record 1'!C" &amp; ROW()))</f>
        <v/>
      </c>
      <c r="C1088" s="8" t="str" cm="1">
        <f t="array" aca="1" ref="C1088" ca="1">IF(INDIRECT("'Student_Record 1'!E" &amp; ROW())="", "", INDIRECT("'Student_Record 1'!E" &amp; ROW()))</f>
        <v/>
      </c>
      <c r="D1088" s="8" t="str" cm="1">
        <f t="array" aca="1" ref="D1088" ca="1">IF(INDIRECT("'Student_Record 1'!G" &amp; ROW())="", "", INDIRECT("'Student_Record 1'!G" &amp; ROW()))</f>
        <v/>
      </c>
      <c r="E1088" s="8" t="str" cm="1">
        <f t="array" aca="1" ref="E1088" ca="1">IF(INDIRECT("'Student_Record 1'!I" &amp; ROW())="", "", INDIRECT("'Student_Record 1'!I" &amp; ROW()))</f>
        <v/>
      </c>
      <c r="F1088" s="8" t="str" cm="1">
        <f t="array" aca="1" ref="F1088" ca="1">IF(INDIRECT("'Student_Record 1'!O" &amp; ROW())="", "", INDIRECT("'Student_Record 1'!O" &amp; ROW()))</f>
        <v/>
      </c>
    </row>
    <row r="1089" spans="1:6" x14ac:dyDescent="0.25">
      <c r="A1089" s="8" t="str" cm="1">
        <f t="array" aca="1" ref="A1089" ca="1">IF(INDIRECT("'Student_Record 1'!A" &amp; ROW())="", "", INDIRECT("'Student_Record 1'!A" &amp; ROW()))</f>
        <v/>
      </c>
      <c r="B1089" s="8" t="str" cm="1">
        <f t="array" aca="1" ref="B1089" ca="1">IF(INDIRECT("'Student_Record 1'!C" &amp; ROW())="", "", INDIRECT("'Student_Record 1'!C" &amp; ROW()))</f>
        <v/>
      </c>
      <c r="C1089" s="8" t="str" cm="1">
        <f t="array" aca="1" ref="C1089" ca="1">IF(INDIRECT("'Student_Record 1'!E" &amp; ROW())="", "", INDIRECT("'Student_Record 1'!E" &amp; ROW()))</f>
        <v/>
      </c>
      <c r="D1089" s="8" t="str" cm="1">
        <f t="array" aca="1" ref="D1089" ca="1">IF(INDIRECT("'Student_Record 1'!G" &amp; ROW())="", "", INDIRECT("'Student_Record 1'!G" &amp; ROW()))</f>
        <v/>
      </c>
      <c r="E1089" s="8" t="str" cm="1">
        <f t="array" aca="1" ref="E1089" ca="1">IF(INDIRECT("'Student_Record 1'!I" &amp; ROW())="", "", INDIRECT("'Student_Record 1'!I" &amp; ROW()))</f>
        <v/>
      </c>
      <c r="F1089" s="8" t="str" cm="1">
        <f t="array" aca="1" ref="F1089" ca="1">IF(INDIRECT("'Student_Record 1'!O" &amp; ROW())="", "", INDIRECT("'Student_Record 1'!O" &amp; ROW()))</f>
        <v/>
      </c>
    </row>
    <row r="1090" spans="1:6" x14ac:dyDescent="0.25">
      <c r="A1090" s="8" t="str" cm="1">
        <f t="array" aca="1" ref="A1090" ca="1">IF(INDIRECT("'Student_Record 1'!A" &amp; ROW())="", "", INDIRECT("'Student_Record 1'!A" &amp; ROW()))</f>
        <v/>
      </c>
      <c r="B1090" s="8" t="str" cm="1">
        <f t="array" aca="1" ref="B1090" ca="1">IF(INDIRECT("'Student_Record 1'!C" &amp; ROW())="", "", INDIRECT("'Student_Record 1'!C" &amp; ROW()))</f>
        <v/>
      </c>
      <c r="C1090" s="8" t="str" cm="1">
        <f t="array" aca="1" ref="C1090" ca="1">IF(INDIRECT("'Student_Record 1'!E" &amp; ROW())="", "", INDIRECT("'Student_Record 1'!E" &amp; ROW()))</f>
        <v/>
      </c>
      <c r="D1090" s="8" t="str" cm="1">
        <f t="array" aca="1" ref="D1090" ca="1">IF(INDIRECT("'Student_Record 1'!G" &amp; ROW())="", "", INDIRECT("'Student_Record 1'!G" &amp; ROW()))</f>
        <v/>
      </c>
      <c r="E1090" s="8" t="str" cm="1">
        <f t="array" aca="1" ref="E1090" ca="1">IF(INDIRECT("'Student_Record 1'!I" &amp; ROW())="", "", INDIRECT("'Student_Record 1'!I" &amp; ROW()))</f>
        <v/>
      </c>
      <c r="F1090" s="8" t="str" cm="1">
        <f t="array" aca="1" ref="F1090" ca="1">IF(INDIRECT("'Student_Record 1'!O" &amp; ROW())="", "", INDIRECT("'Student_Record 1'!O" &amp; ROW()))</f>
        <v/>
      </c>
    </row>
    <row r="1091" spans="1:6" x14ac:dyDescent="0.25">
      <c r="A1091" s="8" t="str" cm="1">
        <f t="array" aca="1" ref="A1091" ca="1">IF(INDIRECT("'Student_Record 1'!A" &amp; ROW())="", "", INDIRECT("'Student_Record 1'!A" &amp; ROW()))</f>
        <v/>
      </c>
      <c r="B1091" s="8" t="str" cm="1">
        <f t="array" aca="1" ref="B1091" ca="1">IF(INDIRECT("'Student_Record 1'!C" &amp; ROW())="", "", INDIRECT("'Student_Record 1'!C" &amp; ROW()))</f>
        <v/>
      </c>
      <c r="C1091" s="8" t="str" cm="1">
        <f t="array" aca="1" ref="C1091" ca="1">IF(INDIRECT("'Student_Record 1'!E" &amp; ROW())="", "", INDIRECT("'Student_Record 1'!E" &amp; ROW()))</f>
        <v/>
      </c>
      <c r="D1091" s="8" t="str" cm="1">
        <f t="array" aca="1" ref="D1091" ca="1">IF(INDIRECT("'Student_Record 1'!G" &amp; ROW())="", "", INDIRECT("'Student_Record 1'!G" &amp; ROW()))</f>
        <v/>
      </c>
      <c r="E1091" s="8" t="str" cm="1">
        <f t="array" aca="1" ref="E1091" ca="1">IF(INDIRECT("'Student_Record 1'!I" &amp; ROW())="", "", INDIRECT("'Student_Record 1'!I" &amp; ROW()))</f>
        <v/>
      </c>
      <c r="F1091" s="8" t="str" cm="1">
        <f t="array" aca="1" ref="F1091" ca="1">IF(INDIRECT("'Student_Record 1'!O" &amp; ROW())="", "", INDIRECT("'Student_Record 1'!O" &amp; ROW()))</f>
        <v/>
      </c>
    </row>
    <row r="1092" spans="1:6" x14ac:dyDescent="0.25">
      <c r="A1092" s="8" t="str" cm="1">
        <f t="array" aca="1" ref="A1092" ca="1">IF(INDIRECT("'Student_Record 1'!A" &amp; ROW())="", "", INDIRECT("'Student_Record 1'!A" &amp; ROW()))</f>
        <v/>
      </c>
      <c r="B1092" s="8" t="str" cm="1">
        <f t="array" aca="1" ref="B1092" ca="1">IF(INDIRECT("'Student_Record 1'!C" &amp; ROW())="", "", INDIRECT("'Student_Record 1'!C" &amp; ROW()))</f>
        <v/>
      </c>
      <c r="C1092" s="8" t="str" cm="1">
        <f t="array" aca="1" ref="C1092" ca="1">IF(INDIRECT("'Student_Record 1'!E" &amp; ROW())="", "", INDIRECT("'Student_Record 1'!E" &amp; ROW()))</f>
        <v/>
      </c>
      <c r="D1092" s="8" t="str" cm="1">
        <f t="array" aca="1" ref="D1092" ca="1">IF(INDIRECT("'Student_Record 1'!G" &amp; ROW())="", "", INDIRECT("'Student_Record 1'!G" &amp; ROW()))</f>
        <v/>
      </c>
      <c r="E1092" s="8" t="str" cm="1">
        <f t="array" aca="1" ref="E1092" ca="1">IF(INDIRECT("'Student_Record 1'!I" &amp; ROW())="", "", INDIRECT("'Student_Record 1'!I" &amp; ROW()))</f>
        <v/>
      </c>
      <c r="F1092" s="8" t="str" cm="1">
        <f t="array" aca="1" ref="F1092" ca="1">IF(INDIRECT("'Student_Record 1'!O" &amp; ROW())="", "", INDIRECT("'Student_Record 1'!O" &amp; ROW()))</f>
        <v/>
      </c>
    </row>
    <row r="1093" spans="1:6" x14ac:dyDescent="0.25">
      <c r="A1093" s="8" t="str" cm="1">
        <f t="array" aca="1" ref="A1093" ca="1">IF(INDIRECT("'Student_Record 1'!A" &amp; ROW())="", "", INDIRECT("'Student_Record 1'!A" &amp; ROW()))</f>
        <v/>
      </c>
      <c r="B1093" s="8" t="str" cm="1">
        <f t="array" aca="1" ref="B1093" ca="1">IF(INDIRECT("'Student_Record 1'!C" &amp; ROW())="", "", INDIRECT("'Student_Record 1'!C" &amp; ROW()))</f>
        <v/>
      </c>
      <c r="C1093" s="8" t="str" cm="1">
        <f t="array" aca="1" ref="C1093" ca="1">IF(INDIRECT("'Student_Record 1'!E" &amp; ROW())="", "", INDIRECT("'Student_Record 1'!E" &amp; ROW()))</f>
        <v/>
      </c>
      <c r="D1093" s="8" t="str" cm="1">
        <f t="array" aca="1" ref="D1093" ca="1">IF(INDIRECT("'Student_Record 1'!G" &amp; ROW())="", "", INDIRECT("'Student_Record 1'!G" &amp; ROW()))</f>
        <v/>
      </c>
      <c r="E1093" s="8" t="str" cm="1">
        <f t="array" aca="1" ref="E1093" ca="1">IF(INDIRECT("'Student_Record 1'!I" &amp; ROW())="", "", INDIRECT("'Student_Record 1'!I" &amp; ROW()))</f>
        <v/>
      </c>
      <c r="F1093" s="8" t="str" cm="1">
        <f t="array" aca="1" ref="F1093" ca="1">IF(INDIRECT("'Student_Record 1'!O" &amp; ROW())="", "", INDIRECT("'Student_Record 1'!O" &amp; ROW()))</f>
        <v/>
      </c>
    </row>
    <row r="1094" spans="1:6" x14ac:dyDescent="0.25">
      <c r="A1094" s="8" t="str" cm="1">
        <f t="array" aca="1" ref="A1094" ca="1">IF(INDIRECT("'Student_Record 1'!A" &amp; ROW())="", "", INDIRECT("'Student_Record 1'!A" &amp; ROW()))</f>
        <v/>
      </c>
      <c r="B1094" s="8" t="str" cm="1">
        <f t="array" aca="1" ref="B1094" ca="1">IF(INDIRECT("'Student_Record 1'!C" &amp; ROW())="", "", INDIRECT("'Student_Record 1'!C" &amp; ROW()))</f>
        <v/>
      </c>
      <c r="C1094" s="8" t="str" cm="1">
        <f t="array" aca="1" ref="C1094" ca="1">IF(INDIRECT("'Student_Record 1'!E" &amp; ROW())="", "", INDIRECT("'Student_Record 1'!E" &amp; ROW()))</f>
        <v/>
      </c>
      <c r="D1094" s="8" t="str" cm="1">
        <f t="array" aca="1" ref="D1094" ca="1">IF(INDIRECT("'Student_Record 1'!G" &amp; ROW())="", "", INDIRECT("'Student_Record 1'!G" &amp; ROW()))</f>
        <v/>
      </c>
      <c r="E1094" s="8" t="str" cm="1">
        <f t="array" aca="1" ref="E1094" ca="1">IF(INDIRECT("'Student_Record 1'!I" &amp; ROW())="", "", INDIRECT("'Student_Record 1'!I" &amp; ROW()))</f>
        <v/>
      </c>
      <c r="F1094" s="8" t="str" cm="1">
        <f t="array" aca="1" ref="F1094" ca="1">IF(INDIRECT("'Student_Record 1'!O" &amp; ROW())="", "", INDIRECT("'Student_Record 1'!O" &amp; ROW()))</f>
        <v/>
      </c>
    </row>
    <row r="1095" spans="1:6" x14ac:dyDescent="0.25">
      <c r="A1095" s="8" t="str" cm="1">
        <f t="array" aca="1" ref="A1095" ca="1">IF(INDIRECT("'Student_Record 1'!A" &amp; ROW())="", "", INDIRECT("'Student_Record 1'!A" &amp; ROW()))</f>
        <v/>
      </c>
      <c r="B1095" s="8" t="str" cm="1">
        <f t="array" aca="1" ref="B1095" ca="1">IF(INDIRECT("'Student_Record 1'!C" &amp; ROW())="", "", INDIRECT("'Student_Record 1'!C" &amp; ROW()))</f>
        <v/>
      </c>
      <c r="C1095" s="8" t="str" cm="1">
        <f t="array" aca="1" ref="C1095" ca="1">IF(INDIRECT("'Student_Record 1'!E" &amp; ROW())="", "", INDIRECT("'Student_Record 1'!E" &amp; ROW()))</f>
        <v/>
      </c>
      <c r="D1095" s="8" t="str" cm="1">
        <f t="array" aca="1" ref="D1095" ca="1">IF(INDIRECT("'Student_Record 1'!G" &amp; ROW())="", "", INDIRECT("'Student_Record 1'!G" &amp; ROW()))</f>
        <v/>
      </c>
      <c r="E1095" s="8" t="str" cm="1">
        <f t="array" aca="1" ref="E1095" ca="1">IF(INDIRECT("'Student_Record 1'!I" &amp; ROW())="", "", INDIRECT("'Student_Record 1'!I" &amp; ROW()))</f>
        <v/>
      </c>
      <c r="F1095" s="8" t="str" cm="1">
        <f t="array" aca="1" ref="F1095" ca="1">IF(INDIRECT("'Student_Record 1'!O" &amp; ROW())="", "", INDIRECT("'Student_Record 1'!O" &amp; ROW()))</f>
        <v/>
      </c>
    </row>
    <row r="1096" spans="1:6" x14ac:dyDescent="0.25">
      <c r="A1096" s="8" t="str" cm="1">
        <f t="array" aca="1" ref="A1096" ca="1">IF(INDIRECT("'Student_Record 1'!A" &amp; ROW())="", "", INDIRECT("'Student_Record 1'!A" &amp; ROW()))</f>
        <v/>
      </c>
      <c r="B1096" s="8" t="str" cm="1">
        <f t="array" aca="1" ref="B1096" ca="1">IF(INDIRECT("'Student_Record 1'!C" &amp; ROW())="", "", INDIRECT("'Student_Record 1'!C" &amp; ROW()))</f>
        <v/>
      </c>
      <c r="C1096" s="8" t="str" cm="1">
        <f t="array" aca="1" ref="C1096" ca="1">IF(INDIRECT("'Student_Record 1'!E" &amp; ROW())="", "", INDIRECT("'Student_Record 1'!E" &amp; ROW()))</f>
        <v/>
      </c>
      <c r="D1096" s="8" t="str" cm="1">
        <f t="array" aca="1" ref="D1096" ca="1">IF(INDIRECT("'Student_Record 1'!G" &amp; ROW())="", "", INDIRECT("'Student_Record 1'!G" &amp; ROW()))</f>
        <v/>
      </c>
      <c r="E1096" s="8" t="str" cm="1">
        <f t="array" aca="1" ref="E1096" ca="1">IF(INDIRECT("'Student_Record 1'!I" &amp; ROW())="", "", INDIRECT("'Student_Record 1'!I" &amp; ROW()))</f>
        <v/>
      </c>
      <c r="F1096" s="8" t="str" cm="1">
        <f t="array" aca="1" ref="F1096" ca="1">IF(INDIRECT("'Student_Record 1'!O" &amp; ROW())="", "", INDIRECT("'Student_Record 1'!O" &amp; ROW()))</f>
        <v/>
      </c>
    </row>
    <row r="1097" spans="1:6" x14ac:dyDescent="0.25">
      <c r="A1097" s="8" t="str" cm="1">
        <f t="array" aca="1" ref="A1097" ca="1">IF(INDIRECT("'Student_Record 1'!A" &amp; ROW())="", "", INDIRECT("'Student_Record 1'!A" &amp; ROW()))</f>
        <v/>
      </c>
      <c r="B1097" s="8" t="str" cm="1">
        <f t="array" aca="1" ref="B1097" ca="1">IF(INDIRECT("'Student_Record 1'!C" &amp; ROW())="", "", INDIRECT("'Student_Record 1'!C" &amp; ROW()))</f>
        <v/>
      </c>
      <c r="C1097" s="8" t="str" cm="1">
        <f t="array" aca="1" ref="C1097" ca="1">IF(INDIRECT("'Student_Record 1'!E" &amp; ROW())="", "", INDIRECT("'Student_Record 1'!E" &amp; ROW()))</f>
        <v/>
      </c>
      <c r="D1097" s="8" t="str" cm="1">
        <f t="array" aca="1" ref="D1097" ca="1">IF(INDIRECT("'Student_Record 1'!G" &amp; ROW())="", "", INDIRECT("'Student_Record 1'!G" &amp; ROW()))</f>
        <v/>
      </c>
      <c r="E1097" s="8" t="str" cm="1">
        <f t="array" aca="1" ref="E1097" ca="1">IF(INDIRECT("'Student_Record 1'!I" &amp; ROW())="", "", INDIRECT("'Student_Record 1'!I" &amp; ROW()))</f>
        <v/>
      </c>
      <c r="F1097" s="8" t="str" cm="1">
        <f t="array" aca="1" ref="F1097" ca="1">IF(INDIRECT("'Student_Record 1'!O" &amp; ROW())="", "", INDIRECT("'Student_Record 1'!O" &amp; ROW()))</f>
        <v/>
      </c>
    </row>
    <row r="1098" spans="1:6" x14ac:dyDescent="0.25">
      <c r="A1098" s="8" t="str" cm="1">
        <f t="array" aca="1" ref="A1098" ca="1">IF(INDIRECT("'Student_Record 1'!A" &amp; ROW())="", "", INDIRECT("'Student_Record 1'!A" &amp; ROW()))</f>
        <v/>
      </c>
      <c r="B1098" s="8" t="str" cm="1">
        <f t="array" aca="1" ref="B1098" ca="1">IF(INDIRECT("'Student_Record 1'!C" &amp; ROW())="", "", INDIRECT("'Student_Record 1'!C" &amp; ROW()))</f>
        <v/>
      </c>
      <c r="C1098" s="8" t="str" cm="1">
        <f t="array" aca="1" ref="C1098" ca="1">IF(INDIRECT("'Student_Record 1'!E" &amp; ROW())="", "", INDIRECT("'Student_Record 1'!E" &amp; ROW()))</f>
        <v/>
      </c>
      <c r="D1098" s="8" t="str" cm="1">
        <f t="array" aca="1" ref="D1098" ca="1">IF(INDIRECT("'Student_Record 1'!G" &amp; ROW())="", "", INDIRECT("'Student_Record 1'!G" &amp; ROW()))</f>
        <v/>
      </c>
      <c r="E1098" s="8" t="str" cm="1">
        <f t="array" aca="1" ref="E1098" ca="1">IF(INDIRECT("'Student_Record 1'!I" &amp; ROW())="", "", INDIRECT("'Student_Record 1'!I" &amp; ROW()))</f>
        <v/>
      </c>
      <c r="F1098" s="8" t="str" cm="1">
        <f t="array" aca="1" ref="F1098" ca="1">IF(INDIRECT("'Student_Record 1'!O" &amp; ROW())="", "", INDIRECT("'Student_Record 1'!O" &amp; ROW()))</f>
        <v/>
      </c>
    </row>
    <row r="1099" spans="1:6" x14ac:dyDescent="0.25">
      <c r="A1099" s="8" t="str" cm="1">
        <f t="array" aca="1" ref="A1099" ca="1">IF(INDIRECT("'Student_Record 1'!A" &amp; ROW())="", "", INDIRECT("'Student_Record 1'!A" &amp; ROW()))</f>
        <v/>
      </c>
      <c r="B1099" s="8" t="str" cm="1">
        <f t="array" aca="1" ref="B1099" ca="1">IF(INDIRECT("'Student_Record 1'!C" &amp; ROW())="", "", INDIRECT("'Student_Record 1'!C" &amp; ROW()))</f>
        <v/>
      </c>
      <c r="C1099" s="8" t="str" cm="1">
        <f t="array" aca="1" ref="C1099" ca="1">IF(INDIRECT("'Student_Record 1'!E" &amp; ROW())="", "", INDIRECT("'Student_Record 1'!E" &amp; ROW()))</f>
        <v/>
      </c>
      <c r="D1099" s="8" t="str" cm="1">
        <f t="array" aca="1" ref="D1099" ca="1">IF(INDIRECT("'Student_Record 1'!G" &amp; ROW())="", "", INDIRECT("'Student_Record 1'!G" &amp; ROW()))</f>
        <v/>
      </c>
      <c r="E1099" s="8" t="str" cm="1">
        <f t="array" aca="1" ref="E1099" ca="1">IF(INDIRECT("'Student_Record 1'!I" &amp; ROW())="", "", INDIRECT("'Student_Record 1'!I" &amp; ROW()))</f>
        <v/>
      </c>
      <c r="F1099" s="8" t="str" cm="1">
        <f t="array" aca="1" ref="F1099" ca="1">IF(INDIRECT("'Student_Record 1'!O" &amp; ROW())="", "", INDIRECT("'Student_Record 1'!O" &amp; ROW()))</f>
        <v/>
      </c>
    </row>
    <row r="1100" spans="1:6" x14ac:dyDescent="0.25">
      <c r="A1100" s="8" t="str" cm="1">
        <f t="array" aca="1" ref="A1100" ca="1">IF(INDIRECT("'Student_Record 1'!A" &amp; ROW())="", "", INDIRECT("'Student_Record 1'!A" &amp; ROW()))</f>
        <v/>
      </c>
      <c r="B1100" s="8" t="str" cm="1">
        <f t="array" aca="1" ref="B1100" ca="1">IF(INDIRECT("'Student_Record 1'!C" &amp; ROW())="", "", INDIRECT("'Student_Record 1'!C" &amp; ROW()))</f>
        <v/>
      </c>
      <c r="C1100" s="8" t="str" cm="1">
        <f t="array" aca="1" ref="C1100" ca="1">IF(INDIRECT("'Student_Record 1'!E" &amp; ROW())="", "", INDIRECT("'Student_Record 1'!E" &amp; ROW()))</f>
        <v/>
      </c>
      <c r="D1100" s="8" t="str" cm="1">
        <f t="array" aca="1" ref="D1100" ca="1">IF(INDIRECT("'Student_Record 1'!G" &amp; ROW())="", "", INDIRECT("'Student_Record 1'!G" &amp; ROW()))</f>
        <v/>
      </c>
      <c r="E1100" s="8" t="str" cm="1">
        <f t="array" aca="1" ref="E1100" ca="1">IF(INDIRECT("'Student_Record 1'!I" &amp; ROW())="", "", INDIRECT("'Student_Record 1'!I" &amp; ROW()))</f>
        <v/>
      </c>
      <c r="F1100" s="8" t="str" cm="1">
        <f t="array" aca="1" ref="F1100" ca="1">IF(INDIRECT("'Student_Record 1'!O" &amp; ROW())="", "", INDIRECT("'Student_Record 1'!O" &amp; ROW()))</f>
        <v/>
      </c>
    </row>
    <row r="1101" spans="1:6" x14ac:dyDescent="0.25">
      <c r="A1101" s="8" t="str" cm="1">
        <f t="array" aca="1" ref="A1101" ca="1">IF(INDIRECT("'Student_Record 1'!A" &amp; ROW())="", "", INDIRECT("'Student_Record 1'!A" &amp; ROW()))</f>
        <v/>
      </c>
      <c r="B1101" s="8" t="str" cm="1">
        <f t="array" aca="1" ref="B1101" ca="1">IF(INDIRECT("'Student_Record 1'!C" &amp; ROW())="", "", INDIRECT("'Student_Record 1'!C" &amp; ROW()))</f>
        <v/>
      </c>
      <c r="C1101" s="8" t="str" cm="1">
        <f t="array" aca="1" ref="C1101" ca="1">IF(INDIRECT("'Student_Record 1'!E" &amp; ROW())="", "", INDIRECT("'Student_Record 1'!E" &amp; ROW()))</f>
        <v/>
      </c>
      <c r="D1101" s="8" t="str" cm="1">
        <f t="array" aca="1" ref="D1101" ca="1">IF(INDIRECT("'Student_Record 1'!G" &amp; ROW())="", "", INDIRECT("'Student_Record 1'!G" &amp; ROW()))</f>
        <v/>
      </c>
      <c r="E1101" s="8" t="str" cm="1">
        <f t="array" aca="1" ref="E1101" ca="1">IF(INDIRECT("'Student_Record 1'!I" &amp; ROW())="", "", INDIRECT("'Student_Record 1'!I" &amp; ROW()))</f>
        <v/>
      </c>
      <c r="F1101" s="8" t="str" cm="1">
        <f t="array" aca="1" ref="F1101" ca="1">IF(INDIRECT("'Student_Record 1'!O" &amp; ROW())="", "", INDIRECT("'Student_Record 1'!O" &amp; ROW()))</f>
        <v/>
      </c>
    </row>
    <row r="1102" spans="1:6" x14ac:dyDescent="0.25">
      <c r="A1102" s="8" t="str" cm="1">
        <f t="array" aca="1" ref="A1102" ca="1">IF(INDIRECT("'Student_Record 1'!A" &amp; ROW())="", "", INDIRECT("'Student_Record 1'!A" &amp; ROW()))</f>
        <v/>
      </c>
      <c r="B1102" s="8" t="str" cm="1">
        <f t="array" aca="1" ref="B1102" ca="1">IF(INDIRECT("'Student_Record 1'!C" &amp; ROW())="", "", INDIRECT("'Student_Record 1'!C" &amp; ROW()))</f>
        <v/>
      </c>
      <c r="C1102" s="8" t="str" cm="1">
        <f t="array" aca="1" ref="C1102" ca="1">IF(INDIRECT("'Student_Record 1'!E" &amp; ROW())="", "", INDIRECT("'Student_Record 1'!E" &amp; ROW()))</f>
        <v/>
      </c>
      <c r="D1102" s="8" t="str" cm="1">
        <f t="array" aca="1" ref="D1102" ca="1">IF(INDIRECT("'Student_Record 1'!G" &amp; ROW())="", "", INDIRECT("'Student_Record 1'!G" &amp; ROW()))</f>
        <v/>
      </c>
      <c r="E1102" s="8" t="str" cm="1">
        <f t="array" aca="1" ref="E1102" ca="1">IF(INDIRECT("'Student_Record 1'!I" &amp; ROW())="", "", INDIRECT("'Student_Record 1'!I" &amp; ROW()))</f>
        <v/>
      </c>
      <c r="F1102" s="8" t="str" cm="1">
        <f t="array" aca="1" ref="F1102" ca="1">IF(INDIRECT("'Student_Record 1'!O" &amp; ROW())="", "", INDIRECT("'Student_Record 1'!O" &amp; ROW()))</f>
        <v/>
      </c>
    </row>
    <row r="1103" spans="1:6" x14ac:dyDescent="0.25">
      <c r="A1103" s="8" t="str" cm="1">
        <f t="array" aca="1" ref="A1103" ca="1">IF(INDIRECT("'Student_Record 1'!A" &amp; ROW())="", "", INDIRECT("'Student_Record 1'!A" &amp; ROW()))</f>
        <v/>
      </c>
      <c r="B1103" s="8" t="str" cm="1">
        <f t="array" aca="1" ref="B1103" ca="1">IF(INDIRECT("'Student_Record 1'!C" &amp; ROW())="", "", INDIRECT("'Student_Record 1'!C" &amp; ROW()))</f>
        <v/>
      </c>
      <c r="C1103" s="8" t="str" cm="1">
        <f t="array" aca="1" ref="C1103" ca="1">IF(INDIRECT("'Student_Record 1'!E" &amp; ROW())="", "", INDIRECT("'Student_Record 1'!E" &amp; ROW()))</f>
        <v/>
      </c>
      <c r="D1103" s="8" t="str" cm="1">
        <f t="array" aca="1" ref="D1103" ca="1">IF(INDIRECT("'Student_Record 1'!G" &amp; ROW())="", "", INDIRECT("'Student_Record 1'!G" &amp; ROW()))</f>
        <v/>
      </c>
      <c r="E1103" s="8" t="str" cm="1">
        <f t="array" aca="1" ref="E1103" ca="1">IF(INDIRECT("'Student_Record 1'!I" &amp; ROW())="", "", INDIRECT("'Student_Record 1'!I" &amp; ROW()))</f>
        <v/>
      </c>
      <c r="F1103" s="8" t="str" cm="1">
        <f t="array" aca="1" ref="F1103" ca="1">IF(INDIRECT("'Student_Record 1'!O" &amp; ROW())="", "", INDIRECT("'Student_Record 1'!O" &amp; ROW()))</f>
        <v/>
      </c>
    </row>
    <row r="1104" spans="1:6" x14ac:dyDescent="0.25">
      <c r="A1104" s="8" t="str" cm="1">
        <f t="array" aca="1" ref="A1104" ca="1">IF(INDIRECT("'Student_Record 1'!A" &amp; ROW())="", "", INDIRECT("'Student_Record 1'!A" &amp; ROW()))</f>
        <v/>
      </c>
      <c r="B1104" s="8" t="str" cm="1">
        <f t="array" aca="1" ref="B1104" ca="1">IF(INDIRECT("'Student_Record 1'!C" &amp; ROW())="", "", INDIRECT("'Student_Record 1'!C" &amp; ROW()))</f>
        <v/>
      </c>
      <c r="C1104" s="8" t="str" cm="1">
        <f t="array" aca="1" ref="C1104" ca="1">IF(INDIRECT("'Student_Record 1'!E" &amp; ROW())="", "", INDIRECT("'Student_Record 1'!E" &amp; ROW()))</f>
        <v/>
      </c>
      <c r="D1104" s="8" t="str" cm="1">
        <f t="array" aca="1" ref="D1104" ca="1">IF(INDIRECT("'Student_Record 1'!G" &amp; ROW())="", "", INDIRECT("'Student_Record 1'!G" &amp; ROW()))</f>
        <v/>
      </c>
      <c r="E1104" s="8" t="str" cm="1">
        <f t="array" aca="1" ref="E1104" ca="1">IF(INDIRECT("'Student_Record 1'!I" &amp; ROW())="", "", INDIRECT("'Student_Record 1'!I" &amp; ROW()))</f>
        <v/>
      </c>
      <c r="F1104" s="8" t="str" cm="1">
        <f t="array" aca="1" ref="F1104" ca="1">IF(INDIRECT("'Student_Record 1'!O" &amp; ROW())="", "", INDIRECT("'Student_Record 1'!O" &amp; ROW()))</f>
        <v/>
      </c>
    </row>
    <row r="1105" spans="1:6" x14ac:dyDescent="0.25">
      <c r="A1105" s="8" t="str" cm="1">
        <f t="array" aca="1" ref="A1105" ca="1">IF(INDIRECT("'Student_Record 1'!A" &amp; ROW())="", "", INDIRECT("'Student_Record 1'!A" &amp; ROW()))</f>
        <v/>
      </c>
      <c r="B1105" s="8" t="str" cm="1">
        <f t="array" aca="1" ref="B1105" ca="1">IF(INDIRECT("'Student_Record 1'!C" &amp; ROW())="", "", INDIRECT("'Student_Record 1'!C" &amp; ROW()))</f>
        <v/>
      </c>
      <c r="C1105" s="8" t="str" cm="1">
        <f t="array" aca="1" ref="C1105" ca="1">IF(INDIRECT("'Student_Record 1'!E" &amp; ROW())="", "", INDIRECT("'Student_Record 1'!E" &amp; ROW()))</f>
        <v/>
      </c>
      <c r="D1105" s="8" t="str" cm="1">
        <f t="array" aca="1" ref="D1105" ca="1">IF(INDIRECT("'Student_Record 1'!G" &amp; ROW())="", "", INDIRECT("'Student_Record 1'!G" &amp; ROW()))</f>
        <v/>
      </c>
      <c r="E1105" s="8" t="str" cm="1">
        <f t="array" aca="1" ref="E1105" ca="1">IF(INDIRECT("'Student_Record 1'!I" &amp; ROW())="", "", INDIRECT("'Student_Record 1'!I" &amp; ROW()))</f>
        <v/>
      </c>
      <c r="F1105" s="8" t="str" cm="1">
        <f t="array" aca="1" ref="F1105" ca="1">IF(INDIRECT("'Student_Record 1'!O" &amp; ROW())="", "", INDIRECT("'Student_Record 1'!O" &amp; ROW()))</f>
        <v/>
      </c>
    </row>
    <row r="1106" spans="1:6" x14ac:dyDescent="0.25">
      <c r="A1106" s="8" t="str" cm="1">
        <f t="array" aca="1" ref="A1106" ca="1">IF(INDIRECT("'Student_Record 1'!A" &amp; ROW())="", "", INDIRECT("'Student_Record 1'!A" &amp; ROW()))</f>
        <v/>
      </c>
      <c r="B1106" s="8" t="str" cm="1">
        <f t="array" aca="1" ref="B1106" ca="1">IF(INDIRECT("'Student_Record 1'!C" &amp; ROW())="", "", INDIRECT("'Student_Record 1'!C" &amp; ROW()))</f>
        <v/>
      </c>
      <c r="C1106" s="8" t="str" cm="1">
        <f t="array" aca="1" ref="C1106" ca="1">IF(INDIRECT("'Student_Record 1'!E" &amp; ROW())="", "", INDIRECT("'Student_Record 1'!E" &amp; ROW()))</f>
        <v/>
      </c>
      <c r="D1106" s="8" t="str" cm="1">
        <f t="array" aca="1" ref="D1106" ca="1">IF(INDIRECT("'Student_Record 1'!G" &amp; ROW())="", "", INDIRECT("'Student_Record 1'!G" &amp; ROW()))</f>
        <v/>
      </c>
      <c r="E1106" s="8" t="str" cm="1">
        <f t="array" aca="1" ref="E1106" ca="1">IF(INDIRECT("'Student_Record 1'!I" &amp; ROW())="", "", INDIRECT("'Student_Record 1'!I" &amp; ROW()))</f>
        <v/>
      </c>
      <c r="F1106" s="8" t="str" cm="1">
        <f t="array" aca="1" ref="F1106" ca="1">IF(INDIRECT("'Student_Record 1'!O" &amp; ROW())="", "", INDIRECT("'Student_Record 1'!O" &amp; ROW()))</f>
        <v/>
      </c>
    </row>
    <row r="1107" spans="1:6" x14ac:dyDescent="0.25">
      <c r="A1107" s="8" t="str" cm="1">
        <f t="array" aca="1" ref="A1107" ca="1">IF(INDIRECT("'Student_Record 1'!A" &amp; ROW())="", "", INDIRECT("'Student_Record 1'!A" &amp; ROW()))</f>
        <v/>
      </c>
      <c r="B1107" s="8" t="str" cm="1">
        <f t="array" aca="1" ref="B1107" ca="1">IF(INDIRECT("'Student_Record 1'!C" &amp; ROW())="", "", INDIRECT("'Student_Record 1'!C" &amp; ROW()))</f>
        <v/>
      </c>
      <c r="C1107" s="8" t="str" cm="1">
        <f t="array" aca="1" ref="C1107" ca="1">IF(INDIRECT("'Student_Record 1'!E" &amp; ROW())="", "", INDIRECT("'Student_Record 1'!E" &amp; ROW()))</f>
        <v/>
      </c>
      <c r="D1107" s="8" t="str" cm="1">
        <f t="array" aca="1" ref="D1107" ca="1">IF(INDIRECT("'Student_Record 1'!G" &amp; ROW())="", "", INDIRECT("'Student_Record 1'!G" &amp; ROW()))</f>
        <v/>
      </c>
      <c r="E1107" s="8" t="str" cm="1">
        <f t="array" aca="1" ref="E1107" ca="1">IF(INDIRECT("'Student_Record 1'!I" &amp; ROW())="", "", INDIRECT("'Student_Record 1'!I" &amp; ROW()))</f>
        <v/>
      </c>
      <c r="F1107" s="8" t="str" cm="1">
        <f t="array" aca="1" ref="F1107" ca="1">IF(INDIRECT("'Student_Record 1'!O" &amp; ROW())="", "", INDIRECT("'Student_Record 1'!O" &amp; ROW()))</f>
        <v/>
      </c>
    </row>
    <row r="1108" spans="1:6" x14ac:dyDescent="0.25">
      <c r="A1108" s="8" t="str" cm="1">
        <f t="array" aca="1" ref="A1108" ca="1">IF(INDIRECT("'Student_Record 1'!A" &amp; ROW())="", "", INDIRECT("'Student_Record 1'!A" &amp; ROW()))</f>
        <v/>
      </c>
      <c r="B1108" s="8" t="str" cm="1">
        <f t="array" aca="1" ref="B1108" ca="1">IF(INDIRECT("'Student_Record 1'!C" &amp; ROW())="", "", INDIRECT("'Student_Record 1'!C" &amp; ROW()))</f>
        <v/>
      </c>
      <c r="C1108" s="8" t="str" cm="1">
        <f t="array" aca="1" ref="C1108" ca="1">IF(INDIRECT("'Student_Record 1'!E" &amp; ROW())="", "", INDIRECT("'Student_Record 1'!E" &amp; ROW()))</f>
        <v/>
      </c>
      <c r="D1108" s="8" t="str" cm="1">
        <f t="array" aca="1" ref="D1108" ca="1">IF(INDIRECT("'Student_Record 1'!G" &amp; ROW())="", "", INDIRECT("'Student_Record 1'!G" &amp; ROW()))</f>
        <v/>
      </c>
      <c r="E1108" s="8" t="str" cm="1">
        <f t="array" aca="1" ref="E1108" ca="1">IF(INDIRECT("'Student_Record 1'!I" &amp; ROW())="", "", INDIRECT("'Student_Record 1'!I" &amp; ROW()))</f>
        <v/>
      </c>
      <c r="F1108" s="8" t="str" cm="1">
        <f t="array" aca="1" ref="F1108" ca="1">IF(INDIRECT("'Student_Record 1'!O" &amp; ROW())="", "", INDIRECT("'Student_Record 1'!O" &amp; ROW()))</f>
        <v/>
      </c>
    </row>
    <row r="1109" spans="1:6" x14ac:dyDescent="0.25">
      <c r="A1109" s="8" t="str" cm="1">
        <f t="array" aca="1" ref="A1109" ca="1">IF(INDIRECT("'Student_Record 1'!A" &amp; ROW())="", "", INDIRECT("'Student_Record 1'!A" &amp; ROW()))</f>
        <v/>
      </c>
      <c r="B1109" s="8" t="str" cm="1">
        <f t="array" aca="1" ref="B1109" ca="1">IF(INDIRECT("'Student_Record 1'!C" &amp; ROW())="", "", INDIRECT("'Student_Record 1'!C" &amp; ROW()))</f>
        <v/>
      </c>
      <c r="C1109" s="8" t="str" cm="1">
        <f t="array" aca="1" ref="C1109" ca="1">IF(INDIRECT("'Student_Record 1'!E" &amp; ROW())="", "", INDIRECT("'Student_Record 1'!E" &amp; ROW()))</f>
        <v/>
      </c>
      <c r="D1109" s="8" t="str" cm="1">
        <f t="array" aca="1" ref="D1109" ca="1">IF(INDIRECT("'Student_Record 1'!G" &amp; ROW())="", "", INDIRECT("'Student_Record 1'!G" &amp; ROW()))</f>
        <v/>
      </c>
      <c r="E1109" s="8" t="str" cm="1">
        <f t="array" aca="1" ref="E1109" ca="1">IF(INDIRECT("'Student_Record 1'!I" &amp; ROW())="", "", INDIRECT("'Student_Record 1'!I" &amp; ROW()))</f>
        <v/>
      </c>
      <c r="F1109" s="8" t="str" cm="1">
        <f t="array" aca="1" ref="F1109" ca="1">IF(INDIRECT("'Student_Record 1'!O" &amp; ROW())="", "", INDIRECT("'Student_Record 1'!O" &amp; ROW()))</f>
        <v/>
      </c>
    </row>
    <row r="1110" spans="1:6" x14ac:dyDescent="0.25">
      <c r="A1110" s="8" t="str" cm="1">
        <f t="array" aca="1" ref="A1110" ca="1">IF(INDIRECT("'Student_Record 1'!A" &amp; ROW())="", "", INDIRECT("'Student_Record 1'!A" &amp; ROW()))</f>
        <v/>
      </c>
      <c r="B1110" s="8" t="str" cm="1">
        <f t="array" aca="1" ref="B1110" ca="1">IF(INDIRECT("'Student_Record 1'!C" &amp; ROW())="", "", INDIRECT("'Student_Record 1'!C" &amp; ROW()))</f>
        <v/>
      </c>
      <c r="C1110" s="8" t="str" cm="1">
        <f t="array" aca="1" ref="C1110" ca="1">IF(INDIRECT("'Student_Record 1'!E" &amp; ROW())="", "", INDIRECT("'Student_Record 1'!E" &amp; ROW()))</f>
        <v/>
      </c>
      <c r="D1110" s="8" t="str" cm="1">
        <f t="array" aca="1" ref="D1110" ca="1">IF(INDIRECT("'Student_Record 1'!G" &amp; ROW())="", "", INDIRECT("'Student_Record 1'!G" &amp; ROW()))</f>
        <v/>
      </c>
      <c r="E1110" s="8" t="str" cm="1">
        <f t="array" aca="1" ref="E1110" ca="1">IF(INDIRECT("'Student_Record 1'!I" &amp; ROW())="", "", INDIRECT("'Student_Record 1'!I" &amp; ROW()))</f>
        <v/>
      </c>
      <c r="F1110" s="8" t="str" cm="1">
        <f t="array" aca="1" ref="F1110" ca="1">IF(INDIRECT("'Student_Record 1'!O" &amp; ROW())="", "", INDIRECT("'Student_Record 1'!O" &amp; ROW()))</f>
        <v/>
      </c>
    </row>
    <row r="1111" spans="1:6" x14ac:dyDescent="0.25">
      <c r="A1111" s="8" t="str" cm="1">
        <f t="array" aca="1" ref="A1111" ca="1">IF(INDIRECT("'Student_Record 1'!A" &amp; ROW())="", "", INDIRECT("'Student_Record 1'!A" &amp; ROW()))</f>
        <v/>
      </c>
      <c r="B1111" s="8" t="str" cm="1">
        <f t="array" aca="1" ref="B1111" ca="1">IF(INDIRECT("'Student_Record 1'!C" &amp; ROW())="", "", INDIRECT("'Student_Record 1'!C" &amp; ROW()))</f>
        <v/>
      </c>
      <c r="C1111" s="8" t="str" cm="1">
        <f t="array" aca="1" ref="C1111" ca="1">IF(INDIRECT("'Student_Record 1'!E" &amp; ROW())="", "", INDIRECT("'Student_Record 1'!E" &amp; ROW()))</f>
        <v/>
      </c>
      <c r="D1111" s="8" t="str" cm="1">
        <f t="array" aca="1" ref="D1111" ca="1">IF(INDIRECT("'Student_Record 1'!G" &amp; ROW())="", "", INDIRECT("'Student_Record 1'!G" &amp; ROW()))</f>
        <v/>
      </c>
      <c r="E1111" s="8" t="str" cm="1">
        <f t="array" aca="1" ref="E1111" ca="1">IF(INDIRECT("'Student_Record 1'!I" &amp; ROW())="", "", INDIRECT("'Student_Record 1'!I" &amp; ROW()))</f>
        <v/>
      </c>
      <c r="F1111" s="8" t="str" cm="1">
        <f t="array" aca="1" ref="F1111" ca="1">IF(INDIRECT("'Student_Record 1'!O" &amp; ROW())="", "", INDIRECT("'Student_Record 1'!O" &amp; ROW()))</f>
        <v/>
      </c>
    </row>
    <row r="1112" spans="1:6" x14ac:dyDescent="0.25">
      <c r="A1112" s="8" t="str" cm="1">
        <f t="array" aca="1" ref="A1112" ca="1">IF(INDIRECT("'Student_Record 1'!A" &amp; ROW())="", "", INDIRECT("'Student_Record 1'!A" &amp; ROW()))</f>
        <v/>
      </c>
      <c r="B1112" s="8" t="str" cm="1">
        <f t="array" aca="1" ref="B1112" ca="1">IF(INDIRECT("'Student_Record 1'!C" &amp; ROW())="", "", INDIRECT("'Student_Record 1'!C" &amp; ROW()))</f>
        <v/>
      </c>
      <c r="C1112" s="8" t="str" cm="1">
        <f t="array" aca="1" ref="C1112" ca="1">IF(INDIRECT("'Student_Record 1'!E" &amp; ROW())="", "", INDIRECT("'Student_Record 1'!E" &amp; ROW()))</f>
        <v/>
      </c>
      <c r="D1112" s="8" t="str" cm="1">
        <f t="array" aca="1" ref="D1112" ca="1">IF(INDIRECT("'Student_Record 1'!G" &amp; ROW())="", "", INDIRECT("'Student_Record 1'!G" &amp; ROW()))</f>
        <v/>
      </c>
      <c r="E1112" s="8" t="str" cm="1">
        <f t="array" aca="1" ref="E1112" ca="1">IF(INDIRECT("'Student_Record 1'!I" &amp; ROW())="", "", INDIRECT("'Student_Record 1'!I" &amp; ROW()))</f>
        <v/>
      </c>
      <c r="F1112" s="8" t="str" cm="1">
        <f t="array" aca="1" ref="F1112" ca="1">IF(INDIRECT("'Student_Record 1'!O" &amp; ROW())="", "", INDIRECT("'Student_Record 1'!O" &amp; ROW()))</f>
        <v/>
      </c>
    </row>
    <row r="1113" spans="1:6" x14ac:dyDescent="0.25">
      <c r="A1113" s="8" t="str" cm="1">
        <f t="array" aca="1" ref="A1113" ca="1">IF(INDIRECT("'Student_Record 1'!A" &amp; ROW())="", "", INDIRECT("'Student_Record 1'!A" &amp; ROW()))</f>
        <v/>
      </c>
      <c r="B1113" s="8" t="str" cm="1">
        <f t="array" aca="1" ref="B1113" ca="1">IF(INDIRECT("'Student_Record 1'!C" &amp; ROW())="", "", INDIRECT("'Student_Record 1'!C" &amp; ROW()))</f>
        <v/>
      </c>
      <c r="C1113" s="8" t="str" cm="1">
        <f t="array" aca="1" ref="C1113" ca="1">IF(INDIRECT("'Student_Record 1'!E" &amp; ROW())="", "", INDIRECT("'Student_Record 1'!E" &amp; ROW()))</f>
        <v/>
      </c>
      <c r="D1113" s="8" t="str" cm="1">
        <f t="array" aca="1" ref="D1113" ca="1">IF(INDIRECT("'Student_Record 1'!G" &amp; ROW())="", "", INDIRECT("'Student_Record 1'!G" &amp; ROW()))</f>
        <v/>
      </c>
      <c r="E1113" s="8" t="str" cm="1">
        <f t="array" aca="1" ref="E1113" ca="1">IF(INDIRECT("'Student_Record 1'!I" &amp; ROW())="", "", INDIRECT("'Student_Record 1'!I" &amp; ROW()))</f>
        <v/>
      </c>
      <c r="F1113" s="8" t="str" cm="1">
        <f t="array" aca="1" ref="F1113" ca="1">IF(INDIRECT("'Student_Record 1'!O" &amp; ROW())="", "", INDIRECT("'Student_Record 1'!O" &amp; ROW()))</f>
        <v/>
      </c>
    </row>
    <row r="1114" spans="1:6" x14ac:dyDescent="0.25">
      <c r="A1114" s="8" t="str" cm="1">
        <f t="array" aca="1" ref="A1114" ca="1">IF(INDIRECT("'Student_Record 1'!A" &amp; ROW())="", "", INDIRECT("'Student_Record 1'!A" &amp; ROW()))</f>
        <v/>
      </c>
      <c r="B1114" s="8" t="str" cm="1">
        <f t="array" aca="1" ref="B1114" ca="1">IF(INDIRECT("'Student_Record 1'!C" &amp; ROW())="", "", INDIRECT("'Student_Record 1'!C" &amp; ROW()))</f>
        <v/>
      </c>
      <c r="C1114" s="8" t="str" cm="1">
        <f t="array" aca="1" ref="C1114" ca="1">IF(INDIRECT("'Student_Record 1'!E" &amp; ROW())="", "", INDIRECT("'Student_Record 1'!E" &amp; ROW()))</f>
        <v/>
      </c>
      <c r="D1114" s="8" t="str" cm="1">
        <f t="array" aca="1" ref="D1114" ca="1">IF(INDIRECT("'Student_Record 1'!G" &amp; ROW())="", "", INDIRECT("'Student_Record 1'!G" &amp; ROW()))</f>
        <v/>
      </c>
      <c r="E1114" s="8" t="str" cm="1">
        <f t="array" aca="1" ref="E1114" ca="1">IF(INDIRECT("'Student_Record 1'!I" &amp; ROW())="", "", INDIRECT("'Student_Record 1'!I" &amp; ROW()))</f>
        <v/>
      </c>
      <c r="F1114" s="8" t="str" cm="1">
        <f t="array" aca="1" ref="F1114" ca="1">IF(INDIRECT("'Student_Record 1'!O" &amp; ROW())="", "", INDIRECT("'Student_Record 1'!O" &amp; ROW()))</f>
        <v/>
      </c>
    </row>
    <row r="1115" spans="1:6" x14ac:dyDescent="0.25">
      <c r="A1115" s="8" t="str" cm="1">
        <f t="array" aca="1" ref="A1115" ca="1">IF(INDIRECT("'Student_Record 1'!A" &amp; ROW())="", "", INDIRECT("'Student_Record 1'!A" &amp; ROW()))</f>
        <v/>
      </c>
      <c r="B1115" s="8" t="str" cm="1">
        <f t="array" aca="1" ref="B1115" ca="1">IF(INDIRECT("'Student_Record 1'!C" &amp; ROW())="", "", INDIRECT("'Student_Record 1'!C" &amp; ROW()))</f>
        <v/>
      </c>
      <c r="C1115" s="8" t="str" cm="1">
        <f t="array" aca="1" ref="C1115" ca="1">IF(INDIRECT("'Student_Record 1'!E" &amp; ROW())="", "", INDIRECT("'Student_Record 1'!E" &amp; ROW()))</f>
        <v/>
      </c>
      <c r="D1115" s="8" t="str" cm="1">
        <f t="array" aca="1" ref="D1115" ca="1">IF(INDIRECT("'Student_Record 1'!G" &amp; ROW())="", "", INDIRECT("'Student_Record 1'!G" &amp; ROW()))</f>
        <v/>
      </c>
      <c r="E1115" s="8" t="str" cm="1">
        <f t="array" aca="1" ref="E1115" ca="1">IF(INDIRECT("'Student_Record 1'!I" &amp; ROW())="", "", INDIRECT("'Student_Record 1'!I" &amp; ROW()))</f>
        <v/>
      </c>
      <c r="F1115" s="8" t="str" cm="1">
        <f t="array" aca="1" ref="F1115" ca="1">IF(INDIRECT("'Student_Record 1'!O" &amp; ROW())="", "", INDIRECT("'Student_Record 1'!O" &amp; ROW()))</f>
        <v/>
      </c>
    </row>
    <row r="1116" spans="1:6" x14ac:dyDescent="0.25">
      <c r="A1116" s="8" t="str" cm="1">
        <f t="array" aca="1" ref="A1116" ca="1">IF(INDIRECT("'Student_Record 1'!A" &amp; ROW())="", "", INDIRECT("'Student_Record 1'!A" &amp; ROW()))</f>
        <v/>
      </c>
      <c r="B1116" s="8" t="str" cm="1">
        <f t="array" aca="1" ref="B1116" ca="1">IF(INDIRECT("'Student_Record 1'!C" &amp; ROW())="", "", INDIRECT("'Student_Record 1'!C" &amp; ROW()))</f>
        <v/>
      </c>
      <c r="C1116" s="8" t="str" cm="1">
        <f t="array" aca="1" ref="C1116" ca="1">IF(INDIRECT("'Student_Record 1'!E" &amp; ROW())="", "", INDIRECT("'Student_Record 1'!E" &amp; ROW()))</f>
        <v/>
      </c>
      <c r="D1116" s="8" t="str" cm="1">
        <f t="array" aca="1" ref="D1116" ca="1">IF(INDIRECT("'Student_Record 1'!G" &amp; ROW())="", "", INDIRECT("'Student_Record 1'!G" &amp; ROW()))</f>
        <v/>
      </c>
      <c r="E1116" s="8" t="str" cm="1">
        <f t="array" aca="1" ref="E1116" ca="1">IF(INDIRECT("'Student_Record 1'!I" &amp; ROW())="", "", INDIRECT("'Student_Record 1'!I" &amp; ROW()))</f>
        <v/>
      </c>
      <c r="F1116" s="8" t="str" cm="1">
        <f t="array" aca="1" ref="F1116" ca="1">IF(INDIRECT("'Student_Record 1'!O" &amp; ROW())="", "", INDIRECT("'Student_Record 1'!O" &amp; ROW()))</f>
        <v/>
      </c>
    </row>
    <row r="1117" spans="1:6" x14ac:dyDescent="0.25">
      <c r="A1117" s="8" t="str" cm="1">
        <f t="array" aca="1" ref="A1117" ca="1">IF(INDIRECT("'Student_Record 1'!A" &amp; ROW())="", "", INDIRECT("'Student_Record 1'!A" &amp; ROW()))</f>
        <v/>
      </c>
      <c r="B1117" s="8" t="str" cm="1">
        <f t="array" aca="1" ref="B1117" ca="1">IF(INDIRECT("'Student_Record 1'!C" &amp; ROW())="", "", INDIRECT("'Student_Record 1'!C" &amp; ROW()))</f>
        <v/>
      </c>
      <c r="C1117" s="8" t="str" cm="1">
        <f t="array" aca="1" ref="C1117" ca="1">IF(INDIRECT("'Student_Record 1'!E" &amp; ROW())="", "", INDIRECT("'Student_Record 1'!E" &amp; ROW()))</f>
        <v/>
      </c>
      <c r="D1117" s="8" t="str" cm="1">
        <f t="array" aca="1" ref="D1117" ca="1">IF(INDIRECT("'Student_Record 1'!G" &amp; ROW())="", "", INDIRECT("'Student_Record 1'!G" &amp; ROW()))</f>
        <v/>
      </c>
      <c r="E1117" s="8" t="str" cm="1">
        <f t="array" aca="1" ref="E1117" ca="1">IF(INDIRECT("'Student_Record 1'!I" &amp; ROW())="", "", INDIRECT("'Student_Record 1'!I" &amp; ROW()))</f>
        <v/>
      </c>
      <c r="F1117" s="8" t="str" cm="1">
        <f t="array" aca="1" ref="F1117" ca="1">IF(INDIRECT("'Student_Record 1'!O" &amp; ROW())="", "", INDIRECT("'Student_Record 1'!O" &amp; ROW()))</f>
        <v/>
      </c>
    </row>
    <row r="1118" spans="1:6" x14ac:dyDescent="0.25">
      <c r="A1118" s="8" t="str" cm="1">
        <f t="array" aca="1" ref="A1118" ca="1">IF(INDIRECT("'Student_Record 1'!A" &amp; ROW())="", "", INDIRECT("'Student_Record 1'!A" &amp; ROW()))</f>
        <v/>
      </c>
      <c r="B1118" s="8" t="str" cm="1">
        <f t="array" aca="1" ref="B1118" ca="1">IF(INDIRECT("'Student_Record 1'!C" &amp; ROW())="", "", INDIRECT("'Student_Record 1'!C" &amp; ROW()))</f>
        <v/>
      </c>
      <c r="C1118" s="8" t="str" cm="1">
        <f t="array" aca="1" ref="C1118" ca="1">IF(INDIRECT("'Student_Record 1'!E" &amp; ROW())="", "", INDIRECT("'Student_Record 1'!E" &amp; ROW()))</f>
        <v/>
      </c>
      <c r="D1118" s="8" t="str" cm="1">
        <f t="array" aca="1" ref="D1118" ca="1">IF(INDIRECT("'Student_Record 1'!G" &amp; ROW())="", "", INDIRECT("'Student_Record 1'!G" &amp; ROW()))</f>
        <v/>
      </c>
      <c r="E1118" s="8" t="str" cm="1">
        <f t="array" aca="1" ref="E1118" ca="1">IF(INDIRECT("'Student_Record 1'!I" &amp; ROW())="", "", INDIRECT("'Student_Record 1'!I" &amp; ROW()))</f>
        <v/>
      </c>
      <c r="F1118" s="8" t="str" cm="1">
        <f t="array" aca="1" ref="F1118" ca="1">IF(INDIRECT("'Student_Record 1'!O" &amp; ROW())="", "", INDIRECT("'Student_Record 1'!O" &amp; ROW()))</f>
        <v/>
      </c>
    </row>
    <row r="1119" spans="1:6" x14ac:dyDescent="0.25">
      <c r="A1119" s="8" t="str" cm="1">
        <f t="array" aca="1" ref="A1119" ca="1">IF(INDIRECT("'Student_Record 1'!A" &amp; ROW())="", "", INDIRECT("'Student_Record 1'!A" &amp; ROW()))</f>
        <v/>
      </c>
      <c r="B1119" s="8" t="str" cm="1">
        <f t="array" aca="1" ref="B1119" ca="1">IF(INDIRECT("'Student_Record 1'!C" &amp; ROW())="", "", INDIRECT("'Student_Record 1'!C" &amp; ROW()))</f>
        <v/>
      </c>
      <c r="C1119" s="8" t="str" cm="1">
        <f t="array" aca="1" ref="C1119" ca="1">IF(INDIRECT("'Student_Record 1'!E" &amp; ROW())="", "", INDIRECT("'Student_Record 1'!E" &amp; ROW()))</f>
        <v/>
      </c>
      <c r="D1119" s="8" t="str" cm="1">
        <f t="array" aca="1" ref="D1119" ca="1">IF(INDIRECT("'Student_Record 1'!G" &amp; ROW())="", "", INDIRECT("'Student_Record 1'!G" &amp; ROW()))</f>
        <v/>
      </c>
      <c r="E1119" s="8" t="str" cm="1">
        <f t="array" aca="1" ref="E1119" ca="1">IF(INDIRECT("'Student_Record 1'!I" &amp; ROW())="", "", INDIRECT("'Student_Record 1'!I" &amp; ROW()))</f>
        <v/>
      </c>
      <c r="F1119" s="8" t="str" cm="1">
        <f t="array" aca="1" ref="F1119" ca="1">IF(INDIRECT("'Student_Record 1'!O" &amp; ROW())="", "", INDIRECT("'Student_Record 1'!O" &amp; ROW()))</f>
        <v/>
      </c>
    </row>
    <row r="1120" spans="1:6" x14ac:dyDescent="0.25">
      <c r="A1120" s="8" t="str" cm="1">
        <f t="array" aca="1" ref="A1120" ca="1">IF(INDIRECT("'Student_Record 1'!A" &amp; ROW())="", "", INDIRECT("'Student_Record 1'!A" &amp; ROW()))</f>
        <v/>
      </c>
      <c r="B1120" s="8" t="str" cm="1">
        <f t="array" aca="1" ref="B1120" ca="1">IF(INDIRECT("'Student_Record 1'!C" &amp; ROW())="", "", INDIRECT("'Student_Record 1'!C" &amp; ROW()))</f>
        <v/>
      </c>
      <c r="C1120" s="8" t="str" cm="1">
        <f t="array" aca="1" ref="C1120" ca="1">IF(INDIRECT("'Student_Record 1'!E" &amp; ROW())="", "", INDIRECT("'Student_Record 1'!E" &amp; ROW()))</f>
        <v/>
      </c>
      <c r="D1120" s="8" t="str" cm="1">
        <f t="array" aca="1" ref="D1120" ca="1">IF(INDIRECT("'Student_Record 1'!G" &amp; ROW())="", "", INDIRECT("'Student_Record 1'!G" &amp; ROW()))</f>
        <v/>
      </c>
      <c r="E1120" s="8" t="str" cm="1">
        <f t="array" aca="1" ref="E1120" ca="1">IF(INDIRECT("'Student_Record 1'!I" &amp; ROW())="", "", INDIRECT("'Student_Record 1'!I" &amp; ROW()))</f>
        <v/>
      </c>
      <c r="F1120" s="8" t="str" cm="1">
        <f t="array" aca="1" ref="F1120" ca="1">IF(INDIRECT("'Student_Record 1'!O" &amp; ROW())="", "", INDIRECT("'Student_Record 1'!O" &amp; ROW()))</f>
        <v/>
      </c>
    </row>
    <row r="1121" spans="1:6" x14ac:dyDescent="0.25">
      <c r="A1121" s="8" t="str" cm="1">
        <f t="array" aca="1" ref="A1121" ca="1">IF(INDIRECT("'Student_Record 1'!A" &amp; ROW())="", "", INDIRECT("'Student_Record 1'!A" &amp; ROW()))</f>
        <v/>
      </c>
      <c r="B1121" s="8" t="str" cm="1">
        <f t="array" aca="1" ref="B1121" ca="1">IF(INDIRECT("'Student_Record 1'!C" &amp; ROW())="", "", INDIRECT("'Student_Record 1'!C" &amp; ROW()))</f>
        <v/>
      </c>
      <c r="C1121" s="8" t="str" cm="1">
        <f t="array" aca="1" ref="C1121" ca="1">IF(INDIRECT("'Student_Record 1'!E" &amp; ROW())="", "", INDIRECT("'Student_Record 1'!E" &amp; ROW()))</f>
        <v/>
      </c>
      <c r="D1121" s="8" t="str" cm="1">
        <f t="array" aca="1" ref="D1121" ca="1">IF(INDIRECT("'Student_Record 1'!G" &amp; ROW())="", "", INDIRECT("'Student_Record 1'!G" &amp; ROW()))</f>
        <v/>
      </c>
      <c r="E1121" s="8" t="str" cm="1">
        <f t="array" aca="1" ref="E1121" ca="1">IF(INDIRECT("'Student_Record 1'!I" &amp; ROW())="", "", INDIRECT("'Student_Record 1'!I" &amp; ROW()))</f>
        <v/>
      </c>
      <c r="F1121" s="8" t="str" cm="1">
        <f t="array" aca="1" ref="F1121" ca="1">IF(INDIRECT("'Student_Record 1'!O" &amp; ROW())="", "", INDIRECT("'Student_Record 1'!O" &amp; ROW()))</f>
        <v/>
      </c>
    </row>
    <row r="1122" spans="1:6" x14ac:dyDescent="0.25">
      <c r="A1122" s="8" t="str" cm="1">
        <f t="array" aca="1" ref="A1122" ca="1">IF(INDIRECT("'Student_Record 1'!A" &amp; ROW())="", "", INDIRECT("'Student_Record 1'!A" &amp; ROW()))</f>
        <v/>
      </c>
      <c r="B1122" s="8" t="str" cm="1">
        <f t="array" aca="1" ref="B1122" ca="1">IF(INDIRECT("'Student_Record 1'!C" &amp; ROW())="", "", INDIRECT("'Student_Record 1'!C" &amp; ROW()))</f>
        <v/>
      </c>
      <c r="C1122" s="8" t="str" cm="1">
        <f t="array" aca="1" ref="C1122" ca="1">IF(INDIRECT("'Student_Record 1'!E" &amp; ROW())="", "", INDIRECT("'Student_Record 1'!E" &amp; ROW()))</f>
        <v/>
      </c>
      <c r="D1122" s="8" t="str" cm="1">
        <f t="array" aca="1" ref="D1122" ca="1">IF(INDIRECT("'Student_Record 1'!G" &amp; ROW())="", "", INDIRECT("'Student_Record 1'!G" &amp; ROW()))</f>
        <v/>
      </c>
      <c r="E1122" s="8" t="str" cm="1">
        <f t="array" aca="1" ref="E1122" ca="1">IF(INDIRECT("'Student_Record 1'!I" &amp; ROW())="", "", INDIRECT("'Student_Record 1'!I" &amp; ROW()))</f>
        <v/>
      </c>
      <c r="F1122" s="8" t="str" cm="1">
        <f t="array" aca="1" ref="F1122" ca="1">IF(INDIRECT("'Student_Record 1'!O" &amp; ROW())="", "", INDIRECT("'Student_Record 1'!O" &amp; ROW()))</f>
        <v/>
      </c>
    </row>
    <row r="1123" spans="1:6" x14ac:dyDescent="0.25">
      <c r="A1123" s="8" t="str" cm="1">
        <f t="array" aca="1" ref="A1123" ca="1">IF(INDIRECT("'Student_Record 1'!A" &amp; ROW())="", "", INDIRECT("'Student_Record 1'!A" &amp; ROW()))</f>
        <v/>
      </c>
      <c r="B1123" s="8" t="str" cm="1">
        <f t="array" aca="1" ref="B1123" ca="1">IF(INDIRECT("'Student_Record 1'!C" &amp; ROW())="", "", INDIRECT("'Student_Record 1'!C" &amp; ROW()))</f>
        <v/>
      </c>
      <c r="C1123" s="8" t="str" cm="1">
        <f t="array" aca="1" ref="C1123" ca="1">IF(INDIRECT("'Student_Record 1'!E" &amp; ROW())="", "", INDIRECT("'Student_Record 1'!E" &amp; ROW()))</f>
        <v/>
      </c>
      <c r="D1123" s="8" t="str" cm="1">
        <f t="array" aca="1" ref="D1123" ca="1">IF(INDIRECT("'Student_Record 1'!G" &amp; ROW())="", "", INDIRECT("'Student_Record 1'!G" &amp; ROW()))</f>
        <v/>
      </c>
      <c r="E1123" s="8" t="str" cm="1">
        <f t="array" aca="1" ref="E1123" ca="1">IF(INDIRECT("'Student_Record 1'!I" &amp; ROW())="", "", INDIRECT("'Student_Record 1'!I" &amp; ROW()))</f>
        <v/>
      </c>
      <c r="F1123" s="8" t="str" cm="1">
        <f t="array" aca="1" ref="F1123" ca="1">IF(INDIRECT("'Student_Record 1'!O" &amp; ROW())="", "", INDIRECT("'Student_Record 1'!O" &amp; ROW()))</f>
        <v/>
      </c>
    </row>
    <row r="1124" spans="1:6" x14ac:dyDescent="0.25">
      <c r="A1124" s="8" t="str" cm="1">
        <f t="array" aca="1" ref="A1124" ca="1">IF(INDIRECT("'Student_Record 1'!A" &amp; ROW())="", "", INDIRECT("'Student_Record 1'!A" &amp; ROW()))</f>
        <v/>
      </c>
      <c r="B1124" s="8" t="str" cm="1">
        <f t="array" aca="1" ref="B1124" ca="1">IF(INDIRECT("'Student_Record 1'!C" &amp; ROW())="", "", INDIRECT("'Student_Record 1'!C" &amp; ROW()))</f>
        <v/>
      </c>
      <c r="C1124" s="8" t="str" cm="1">
        <f t="array" aca="1" ref="C1124" ca="1">IF(INDIRECT("'Student_Record 1'!E" &amp; ROW())="", "", INDIRECT("'Student_Record 1'!E" &amp; ROW()))</f>
        <v/>
      </c>
      <c r="D1124" s="8" t="str" cm="1">
        <f t="array" aca="1" ref="D1124" ca="1">IF(INDIRECT("'Student_Record 1'!G" &amp; ROW())="", "", INDIRECT("'Student_Record 1'!G" &amp; ROW()))</f>
        <v/>
      </c>
      <c r="E1124" s="8" t="str" cm="1">
        <f t="array" aca="1" ref="E1124" ca="1">IF(INDIRECT("'Student_Record 1'!I" &amp; ROW())="", "", INDIRECT("'Student_Record 1'!I" &amp; ROW()))</f>
        <v/>
      </c>
      <c r="F1124" s="8" t="str" cm="1">
        <f t="array" aca="1" ref="F1124" ca="1">IF(INDIRECT("'Student_Record 1'!O" &amp; ROW())="", "", INDIRECT("'Student_Record 1'!O" &amp; ROW()))</f>
        <v/>
      </c>
    </row>
    <row r="1125" spans="1:6" x14ac:dyDescent="0.25">
      <c r="A1125" s="8" t="str" cm="1">
        <f t="array" aca="1" ref="A1125" ca="1">IF(INDIRECT("'Student_Record 1'!A" &amp; ROW())="", "", INDIRECT("'Student_Record 1'!A" &amp; ROW()))</f>
        <v/>
      </c>
      <c r="B1125" s="8" t="str" cm="1">
        <f t="array" aca="1" ref="B1125" ca="1">IF(INDIRECT("'Student_Record 1'!C" &amp; ROW())="", "", INDIRECT("'Student_Record 1'!C" &amp; ROW()))</f>
        <v/>
      </c>
      <c r="C1125" s="8" t="str" cm="1">
        <f t="array" aca="1" ref="C1125" ca="1">IF(INDIRECT("'Student_Record 1'!E" &amp; ROW())="", "", INDIRECT("'Student_Record 1'!E" &amp; ROW()))</f>
        <v/>
      </c>
      <c r="D1125" s="8" t="str" cm="1">
        <f t="array" aca="1" ref="D1125" ca="1">IF(INDIRECT("'Student_Record 1'!G" &amp; ROW())="", "", INDIRECT("'Student_Record 1'!G" &amp; ROW()))</f>
        <v/>
      </c>
      <c r="E1125" s="8" t="str" cm="1">
        <f t="array" aca="1" ref="E1125" ca="1">IF(INDIRECT("'Student_Record 1'!I" &amp; ROW())="", "", INDIRECT("'Student_Record 1'!I" &amp; ROW()))</f>
        <v/>
      </c>
      <c r="F1125" s="8" t="str" cm="1">
        <f t="array" aca="1" ref="F1125" ca="1">IF(INDIRECT("'Student_Record 1'!O" &amp; ROW())="", "", INDIRECT("'Student_Record 1'!O" &amp; ROW()))</f>
        <v/>
      </c>
    </row>
    <row r="1126" spans="1:6" x14ac:dyDescent="0.25">
      <c r="A1126" s="8" t="str" cm="1">
        <f t="array" aca="1" ref="A1126" ca="1">IF(INDIRECT("'Student_Record 1'!A" &amp; ROW())="", "", INDIRECT("'Student_Record 1'!A" &amp; ROW()))</f>
        <v/>
      </c>
      <c r="B1126" s="8" t="str" cm="1">
        <f t="array" aca="1" ref="B1126" ca="1">IF(INDIRECT("'Student_Record 1'!C" &amp; ROW())="", "", INDIRECT("'Student_Record 1'!C" &amp; ROW()))</f>
        <v/>
      </c>
      <c r="C1126" s="8" t="str" cm="1">
        <f t="array" aca="1" ref="C1126" ca="1">IF(INDIRECT("'Student_Record 1'!E" &amp; ROW())="", "", INDIRECT("'Student_Record 1'!E" &amp; ROW()))</f>
        <v/>
      </c>
      <c r="D1126" s="8" t="str" cm="1">
        <f t="array" aca="1" ref="D1126" ca="1">IF(INDIRECT("'Student_Record 1'!G" &amp; ROW())="", "", INDIRECT("'Student_Record 1'!G" &amp; ROW()))</f>
        <v/>
      </c>
      <c r="E1126" s="8" t="str" cm="1">
        <f t="array" aca="1" ref="E1126" ca="1">IF(INDIRECT("'Student_Record 1'!I" &amp; ROW())="", "", INDIRECT("'Student_Record 1'!I" &amp; ROW()))</f>
        <v/>
      </c>
      <c r="F1126" s="8" t="str" cm="1">
        <f t="array" aca="1" ref="F1126" ca="1">IF(INDIRECT("'Student_Record 1'!O" &amp; ROW())="", "", INDIRECT("'Student_Record 1'!O" &amp; ROW()))</f>
        <v/>
      </c>
    </row>
    <row r="1127" spans="1:6" x14ac:dyDescent="0.25">
      <c r="A1127" s="8" t="str" cm="1">
        <f t="array" aca="1" ref="A1127" ca="1">IF(INDIRECT("'Student_Record 1'!A" &amp; ROW())="", "", INDIRECT("'Student_Record 1'!A" &amp; ROW()))</f>
        <v/>
      </c>
      <c r="B1127" s="8" t="str" cm="1">
        <f t="array" aca="1" ref="B1127" ca="1">IF(INDIRECT("'Student_Record 1'!C" &amp; ROW())="", "", INDIRECT("'Student_Record 1'!C" &amp; ROW()))</f>
        <v/>
      </c>
      <c r="C1127" s="8" t="str" cm="1">
        <f t="array" aca="1" ref="C1127" ca="1">IF(INDIRECT("'Student_Record 1'!E" &amp; ROW())="", "", INDIRECT("'Student_Record 1'!E" &amp; ROW()))</f>
        <v/>
      </c>
      <c r="D1127" s="8" t="str" cm="1">
        <f t="array" aca="1" ref="D1127" ca="1">IF(INDIRECT("'Student_Record 1'!G" &amp; ROW())="", "", INDIRECT("'Student_Record 1'!G" &amp; ROW()))</f>
        <v/>
      </c>
      <c r="E1127" s="8" t="str" cm="1">
        <f t="array" aca="1" ref="E1127" ca="1">IF(INDIRECT("'Student_Record 1'!I" &amp; ROW())="", "", INDIRECT("'Student_Record 1'!I" &amp; ROW()))</f>
        <v/>
      </c>
      <c r="F1127" s="8" t="str" cm="1">
        <f t="array" aca="1" ref="F1127" ca="1">IF(INDIRECT("'Student_Record 1'!O" &amp; ROW())="", "", INDIRECT("'Student_Record 1'!O" &amp; ROW()))</f>
        <v/>
      </c>
    </row>
    <row r="1128" spans="1:6" x14ac:dyDescent="0.25">
      <c r="A1128" s="8" t="str" cm="1">
        <f t="array" aca="1" ref="A1128" ca="1">IF(INDIRECT("'Student_Record 1'!A" &amp; ROW())="", "", INDIRECT("'Student_Record 1'!A" &amp; ROW()))</f>
        <v/>
      </c>
      <c r="B1128" s="8" t="str" cm="1">
        <f t="array" aca="1" ref="B1128" ca="1">IF(INDIRECT("'Student_Record 1'!C" &amp; ROW())="", "", INDIRECT("'Student_Record 1'!C" &amp; ROW()))</f>
        <v/>
      </c>
      <c r="C1128" s="8" t="str" cm="1">
        <f t="array" aca="1" ref="C1128" ca="1">IF(INDIRECT("'Student_Record 1'!E" &amp; ROW())="", "", INDIRECT("'Student_Record 1'!E" &amp; ROW()))</f>
        <v/>
      </c>
      <c r="D1128" s="8" t="str" cm="1">
        <f t="array" aca="1" ref="D1128" ca="1">IF(INDIRECT("'Student_Record 1'!G" &amp; ROW())="", "", INDIRECT("'Student_Record 1'!G" &amp; ROW()))</f>
        <v/>
      </c>
      <c r="E1128" s="8" t="str" cm="1">
        <f t="array" aca="1" ref="E1128" ca="1">IF(INDIRECT("'Student_Record 1'!I" &amp; ROW())="", "", INDIRECT("'Student_Record 1'!I" &amp; ROW()))</f>
        <v/>
      </c>
      <c r="F1128" s="8" t="str" cm="1">
        <f t="array" aca="1" ref="F1128" ca="1">IF(INDIRECT("'Student_Record 1'!O" &amp; ROW())="", "", INDIRECT("'Student_Record 1'!O" &amp; ROW()))</f>
        <v/>
      </c>
    </row>
    <row r="1129" spans="1:6" x14ac:dyDescent="0.25">
      <c r="A1129" s="8" t="str" cm="1">
        <f t="array" aca="1" ref="A1129" ca="1">IF(INDIRECT("'Student_Record 1'!A" &amp; ROW())="", "", INDIRECT("'Student_Record 1'!A" &amp; ROW()))</f>
        <v/>
      </c>
      <c r="B1129" s="8" t="str" cm="1">
        <f t="array" aca="1" ref="B1129" ca="1">IF(INDIRECT("'Student_Record 1'!C" &amp; ROW())="", "", INDIRECT("'Student_Record 1'!C" &amp; ROW()))</f>
        <v/>
      </c>
      <c r="C1129" s="8" t="str" cm="1">
        <f t="array" aca="1" ref="C1129" ca="1">IF(INDIRECT("'Student_Record 1'!E" &amp; ROW())="", "", INDIRECT("'Student_Record 1'!E" &amp; ROW()))</f>
        <v/>
      </c>
      <c r="D1129" s="8" t="str" cm="1">
        <f t="array" aca="1" ref="D1129" ca="1">IF(INDIRECT("'Student_Record 1'!G" &amp; ROW())="", "", INDIRECT("'Student_Record 1'!G" &amp; ROW()))</f>
        <v/>
      </c>
      <c r="E1129" s="8" t="str" cm="1">
        <f t="array" aca="1" ref="E1129" ca="1">IF(INDIRECT("'Student_Record 1'!I" &amp; ROW())="", "", INDIRECT("'Student_Record 1'!I" &amp; ROW()))</f>
        <v/>
      </c>
      <c r="F1129" s="8" t="str" cm="1">
        <f t="array" aca="1" ref="F1129" ca="1">IF(INDIRECT("'Student_Record 1'!O" &amp; ROW())="", "", INDIRECT("'Student_Record 1'!O" &amp; ROW()))</f>
        <v/>
      </c>
    </row>
    <row r="1130" spans="1:6" x14ac:dyDescent="0.25">
      <c r="A1130" s="8" t="str" cm="1">
        <f t="array" aca="1" ref="A1130" ca="1">IF(INDIRECT("'Student_Record 1'!A" &amp; ROW())="", "", INDIRECT("'Student_Record 1'!A" &amp; ROW()))</f>
        <v/>
      </c>
      <c r="B1130" s="8" t="str" cm="1">
        <f t="array" aca="1" ref="B1130" ca="1">IF(INDIRECT("'Student_Record 1'!C" &amp; ROW())="", "", INDIRECT("'Student_Record 1'!C" &amp; ROW()))</f>
        <v/>
      </c>
      <c r="C1130" s="8" t="str" cm="1">
        <f t="array" aca="1" ref="C1130" ca="1">IF(INDIRECT("'Student_Record 1'!E" &amp; ROW())="", "", INDIRECT("'Student_Record 1'!E" &amp; ROW()))</f>
        <v/>
      </c>
      <c r="D1130" s="8" t="str" cm="1">
        <f t="array" aca="1" ref="D1130" ca="1">IF(INDIRECT("'Student_Record 1'!G" &amp; ROW())="", "", INDIRECT("'Student_Record 1'!G" &amp; ROW()))</f>
        <v/>
      </c>
      <c r="E1130" s="8" t="str" cm="1">
        <f t="array" aca="1" ref="E1130" ca="1">IF(INDIRECT("'Student_Record 1'!I" &amp; ROW())="", "", INDIRECT("'Student_Record 1'!I" &amp; ROW()))</f>
        <v/>
      </c>
      <c r="F1130" s="8" t="str" cm="1">
        <f t="array" aca="1" ref="F1130" ca="1">IF(INDIRECT("'Student_Record 1'!O" &amp; ROW())="", "", INDIRECT("'Student_Record 1'!O" &amp; ROW()))</f>
        <v/>
      </c>
    </row>
    <row r="1131" spans="1:6" x14ac:dyDescent="0.25">
      <c r="A1131" s="8" t="str" cm="1">
        <f t="array" aca="1" ref="A1131" ca="1">IF(INDIRECT("'Student_Record 1'!A" &amp; ROW())="", "", INDIRECT("'Student_Record 1'!A" &amp; ROW()))</f>
        <v/>
      </c>
      <c r="B1131" s="8" t="str" cm="1">
        <f t="array" aca="1" ref="B1131" ca="1">IF(INDIRECT("'Student_Record 1'!C" &amp; ROW())="", "", INDIRECT("'Student_Record 1'!C" &amp; ROW()))</f>
        <v/>
      </c>
      <c r="C1131" s="8" t="str" cm="1">
        <f t="array" aca="1" ref="C1131" ca="1">IF(INDIRECT("'Student_Record 1'!E" &amp; ROW())="", "", INDIRECT("'Student_Record 1'!E" &amp; ROW()))</f>
        <v/>
      </c>
      <c r="D1131" s="8" t="str" cm="1">
        <f t="array" aca="1" ref="D1131" ca="1">IF(INDIRECT("'Student_Record 1'!G" &amp; ROW())="", "", INDIRECT("'Student_Record 1'!G" &amp; ROW()))</f>
        <v/>
      </c>
      <c r="E1131" s="8" t="str" cm="1">
        <f t="array" aca="1" ref="E1131" ca="1">IF(INDIRECT("'Student_Record 1'!I" &amp; ROW())="", "", INDIRECT("'Student_Record 1'!I" &amp; ROW()))</f>
        <v/>
      </c>
      <c r="F1131" s="8" t="str" cm="1">
        <f t="array" aca="1" ref="F1131" ca="1">IF(INDIRECT("'Student_Record 1'!O" &amp; ROW())="", "", INDIRECT("'Student_Record 1'!O" &amp; ROW()))</f>
        <v/>
      </c>
    </row>
    <row r="1132" spans="1:6" x14ac:dyDescent="0.25">
      <c r="A1132" s="8" t="str" cm="1">
        <f t="array" aca="1" ref="A1132" ca="1">IF(INDIRECT("'Student_Record 1'!A" &amp; ROW())="", "", INDIRECT("'Student_Record 1'!A" &amp; ROW()))</f>
        <v/>
      </c>
      <c r="B1132" s="8" t="str" cm="1">
        <f t="array" aca="1" ref="B1132" ca="1">IF(INDIRECT("'Student_Record 1'!C" &amp; ROW())="", "", INDIRECT("'Student_Record 1'!C" &amp; ROW()))</f>
        <v/>
      </c>
      <c r="C1132" s="8" t="str" cm="1">
        <f t="array" aca="1" ref="C1132" ca="1">IF(INDIRECT("'Student_Record 1'!E" &amp; ROW())="", "", INDIRECT("'Student_Record 1'!E" &amp; ROW()))</f>
        <v/>
      </c>
      <c r="D1132" s="8" t="str" cm="1">
        <f t="array" aca="1" ref="D1132" ca="1">IF(INDIRECT("'Student_Record 1'!G" &amp; ROW())="", "", INDIRECT("'Student_Record 1'!G" &amp; ROW()))</f>
        <v/>
      </c>
      <c r="E1132" s="8" t="str" cm="1">
        <f t="array" aca="1" ref="E1132" ca="1">IF(INDIRECT("'Student_Record 1'!I" &amp; ROW())="", "", INDIRECT("'Student_Record 1'!I" &amp; ROW()))</f>
        <v/>
      </c>
      <c r="F1132" s="8" t="str" cm="1">
        <f t="array" aca="1" ref="F1132" ca="1">IF(INDIRECT("'Student_Record 1'!O" &amp; ROW())="", "", INDIRECT("'Student_Record 1'!O" &amp; ROW()))</f>
        <v/>
      </c>
    </row>
    <row r="1133" spans="1:6" x14ac:dyDescent="0.25">
      <c r="A1133" s="8" t="str" cm="1">
        <f t="array" aca="1" ref="A1133" ca="1">IF(INDIRECT("'Student_Record 1'!A" &amp; ROW())="", "", INDIRECT("'Student_Record 1'!A" &amp; ROW()))</f>
        <v/>
      </c>
      <c r="B1133" s="8" t="str" cm="1">
        <f t="array" aca="1" ref="B1133" ca="1">IF(INDIRECT("'Student_Record 1'!C" &amp; ROW())="", "", INDIRECT("'Student_Record 1'!C" &amp; ROW()))</f>
        <v/>
      </c>
      <c r="C1133" s="8" t="str" cm="1">
        <f t="array" aca="1" ref="C1133" ca="1">IF(INDIRECT("'Student_Record 1'!E" &amp; ROW())="", "", INDIRECT("'Student_Record 1'!E" &amp; ROW()))</f>
        <v/>
      </c>
      <c r="D1133" s="8" t="str" cm="1">
        <f t="array" aca="1" ref="D1133" ca="1">IF(INDIRECT("'Student_Record 1'!G" &amp; ROW())="", "", INDIRECT("'Student_Record 1'!G" &amp; ROW()))</f>
        <v/>
      </c>
      <c r="E1133" s="8" t="str" cm="1">
        <f t="array" aca="1" ref="E1133" ca="1">IF(INDIRECT("'Student_Record 1'!I" &amp; ROW())="", "", INDIRECT("'Student_Record 1'!I" &amp; ROW()))</f>
        <v/>
      </c>
      <c r="F1133" s="8" t="str" cm="1">
        <f t="array" aca="1" ref="F1133" ca="1">IF(INDIRECT("'Student_Record 1'!O" &amp; ROW())="", "", INDIRECT("'Student_Record 1'!O" &amp; ROW()))</f>
        <v/>
      </c>
    </row>
    <row r="1134" spans="1:6" x14ac:dyDescent="0.25">
      <c r="A1134" s="8" t="str" cm="1">
        <f t="array" aca="1" ref="A1134" ca="1">IF(INDIRECT("'Student_Record 1'!A" &amp; ROW())="", "", INDIRECT("'Student_Record 1'!A" &amp; ROW()))</f>
        <v/>
      </c>
      <c r="B1134" s="8" t="str" cm="1">
        <f t="array" aca="1" ref="B1134" ca="1">IF(INDIRECT("'Student_Record 1'!C" &amp; ROW())="", "", INDIRECT("'Student_Record 1'!C" &amp; ROW()))</f>
        <v/>
      </c>
      <c r="C1134" s="8" t="str" cm="1">
        <f t="array" aca="1" ref="C1134" ca="1">IF(INDIRECT("'Student_Record 1'!E" &amp; ROW())="", "", INDIRECT("'Student_Record 1'!E" &amp; ROW()))</f>
        <v/>
      </c>
      <c r="D1134" s="8" t="str" cm="1">
        <f t="array" aca="1" ref="D1134" ca="1">IF(INDIRECT("'Student_Record 1'!G" &amp; ROW())="", "", INDIRECT("'Student_Record 1'!G" &amp; ROW()))</f>
        <v/>
      </c>
      <c r="E1134" s="8" t="str" cm="1">
        <f t="array" aca="1" ref="E1134" ca="1">IF(INDIRECT("'Student_Record 1'!I" &amp; ROW())="", "", INDIRECT("'Student_Record 1'!I" &amp; ROW()))</f>
        <v/>
      </c>
      <c r="F1134" s="8" t="str" cm="1">
        <f t="array" aca="1" ref="F1134" ca="1">IF(INDIRECT("'Student_Record 1'!O" &amp; ROW())="", "", INDIRECT("'Student_Record 1'!O" &amp; ROW()))</f>
        <v/>
      </c>
    </row>
    <row r="1135" spans="1:6" x14ac:dyDescent="0.25">
      <c r="A1135" s="8" t="str" cm="1">
        <f t="array" aca="1" ref="A1135" ca="1">IF(INDIRECT("'Student_Record 1'!A" &amp; ROW())="", "", INDIRECT("'Student_Record 1'!A" &amp; ROW()))</f>
        <v/>
      </c>
      <c r="B1135" s="8" t="str" cm="1">
        <f t="array" aca="1" ref="B1135" ca="1">IF(INDIRECT("'Student_Record 1'!C" &amp; ROW())="", "", INDIRECT("'Student_Record 1'!C" &amp; ROW()))</f>
        <v/>
      </c>
      <c r="C1135" s="8" t="str" cm="1">
        <f t="array" aca="1" ref="C1135" ca="1">IF(INDIRECT("'Student_Record 1'!E" &amp; ROW())="", "", INDIRECT("'Student_Record 1'!E" &amp; ROW()))</f>
        <v/>
      </c>
      <c r="D1135" s="8" t="str" cm="1">
        <f t="array" aca="1" ref="D1135" ca="1">IF(INDIRECT("'Student_Record 1'!G" &amp; ROW())="", "", INDIRECT("'Student_Record 1'!G" &amp; ROW()))</f>
        <v/>
      </c>
      <c r="E1135" s="8" t="str" cm="1">
        <f t="array" aca="1" ref="E1135" ca="1">IF(INDIRECT("'Student_Record 1'!I" &amp; ROW())="", "", INDIRECT("'Student_Record 1'!I" &amp; ROW()))</f>
        <v/>
      </c>
      <c r="F1135" s="8" t="str" cm="1">
        <f t="array" aca="1" ref="F1135" ca="1">IF(INDIRECT("'Student_Record 1'!O" &amp; ROW())="", "", INDIRECT("'Student_Record 1'!O" &amp; ROW()))</f>
        <v/>
      </c>
    </row>
    <row r="1136" spans="1:6" x14ac:dyDescent="0.25">
      <c r="A1136" s="8" t="str" cm="1">
        <f t="array" aca="1" ref="A1136" ca="1">IF(INDIRECT("'Student_Record 1'!A" &amp; ROW())="", "", INDIRECT("'Student_Record 1'!A" &amp; ROW()))</f>
        <v/>
      </c>
      <c r="B1136" s="8" t="str" cm="1">
        <f t="array" aca="1" ref="B1136" ca="1">IF(INDIRECT("'Student_Record 1'!C" &amp; ROW())="", "", INDIRECT("'Student_Record 1'!C" &amp; ROW()))</f>
        <v/>
      </c>
      <c r="C1136" s="8" t="str" cm="1">
        <f t="array" aca="1" ref="C1136" ca="1">IF(INDIRECT("'Student_Record 1'!E" &amp; ROW())="", "", INDIRECT("'Student_Record 1'!E" &amp; ROW()))</f>
        <v/>
      </c>
      <c r="D1136" s="8" t="str" cm="1">
        <f t="array" aca="1" ref="D1136" ca="1">IF(INDIRECT("'Student_Record 1'!G" &amp; ROW())="", "", INDIRECT("'Student_Record 1'!G" &amp; ROW()))</f>
        <v/>
      </c>
      <c r="E1136" s="8" t="str" cm="1">
        <f t="array" aca="1" ref="E1136" ca="1">IF(INDIRECT("'Student_Record 1'!I" &amp; ROW())="", "", INDIRECT("'Student_Record 1'!I" &amp; ROW()))</f>
        <v/>
      </c>
      <c r="F1136" s="8" t="str" cm="1">
        <f t="array" aca="1" ref="F1136" ca="1">IF(INDIRECT("'Student_Record 1'!O" &amp; ROW())="", "", INDIRECT("'Student_Record 1'!O" &amp; ROW()))</f>
        <v/>
      </c>
    </row>
    <row r="1137" spans="1:6" x14ac:dyDescent="0.25">
      <c r="A1137" s="8" t="str" cm="1">
        <f t="array" aca="1" ref="A1137" ca="1">IF(INDIRECT("'Student_Record 1'!A" &amp; ROW())="", "", INDIRECT("'Student_Record 1'!A" &amp; ROW()))</f>
        <v/>
      </c>
      <c r="B1137" s="8" t="str" cm="1">
        <f t="array" aca="1" ref="B1137" ca="1">IF(INDIRECT("'Student_Record 1'!C" &amp; ROW())="", "", INDIRECT("'Student_Record 1'!C" &amp; ROW()))</f>
        <v/>
      </c>
      <c r="C1137" s="8" t="str" cm="1">
        <f t="array" aca="1" ref="C1137" ca="1">IF(INDIRECT("'Student_Record 1'!E" &amp; ROW())="", "", INDIRECT("'Student_Record 1'!E" &amp; ROW()))</f>
        <v/>
      </c>
      <c r="D1137" s="8" t="str" cm="1">
        <f t="array" aca="1" ref="D1137" ca="1">IF(INDIRECT("'Student_Record 1'!G" &amp; ROW())="", "", INDIRECT("'Student_Record 1'!G" &amp; ROW()))</f>
        <v/>
      </c>
      <c r="E1137" s="8" t="str" cm="1">
        <f t="array" aca="1" ref="E1137" ca="1">IF(INDIRECT("'Student_Record 1'!I" &amp; ROW())="", "", INDIRECT("'Student_Record 1'!I" &amp; ROW()))</f>
        <v/>
      </c>
      <c r="F1137" s="8" t="str" cm="1">
        <f t="array" aca="1" ref="F1137" ca="1">IF(INDIRECT("'Student_Record 1'!O" &amp; ROW())="", "", INDIRECT("'Student_Record 1'!O" &amp; ROW()))</f>
        <v/>
      </c>
    </row>
    <row r="1138" spans="1:6" x14ac:dyDescent="0.25">
      <c r="A1138" s="8" t="str" cm="1">
        <f t="array" aca="1" ref="A1138" ca="1">IF(INDIRECT("'Student_Record 1'!A" &amp; ROW())="", "", INDIRECT("'Student_Record 1'!A" &amp; ROW()))</f>
        <v/>
      </c>
      <c r="B1138" s="8" t="str" cm="1">
        <f t="array" aca="1" ref="B1138" ca="1">IF(INDIRECT("'Student_Record 1'!C" &amp; ROW())="", "", INDIRECT("'Student_Record 1'!C" &amp; ROW()))</f>
        <v/>
      </c>
      <c r="C1138" s="8" t="str" cm="1">
        <f t="array" aca="1" ref="C1138" ca="1">IF(INDIRECT("'Student_Record 1'!E" &amp; ROW())="", "", INDIRECT("'Student_Record 1'!E" &amp; ROW()))</f>
        <v/>
      </c>
      <c r="D1138" s="8" t="str" cm="1">
        <f t="array" aca="1" ref="D1138" ca="1">IF(INDIRECT("'Student_Record 1'!G" &amp; ROW())="", "", INDIRECT("'Student_Record 1'!G" &amp; ROW()))</f>
        <v/>
      </c>
      <c r="E1138" s="8" t="str" cm="1">
        <f t="array" aca="1" ref="E1138" ca="1">IF(INDIRECT("'Student_Record 1'!I" &amp; ROW())="", "", INDIRECT("'Student_Record 1'!I" &amp; ROW()))</f>
        <v/>
      </c>
      <c r="F1138" s="8" t="str" cm="1">
        <f t="array" aca="1" ref="F1138" ca="1">IF(INDIRECT("'Student_Record 1'!O" &amp; ROW())="", "", INDIRECT("'Student_Record 1'!O" &amp; ROW()))</f>
        <v/>
      </c>
    </row>
    <row r="1139" spans="1:6" x14ac:dyDescent="0.25">
      <c r="A1139" s="8" t="str" cm="1">
        <f t="array" aca="1" ref="A1139" ca="1">IF(INDIRECT("'Student_Record 1'!A" &amp; ROW())="", "", INDIRECT("'Student_Record 1'!A" &amp; ROW()))</f>
        <v/>
      </c>
      <c r="B1139" s="8" t="str" cm="1">
        <f t="array" aca="1" ref="B1139" ca="1">IF(INDIRECT("'Student_Record 1'!C" &amp; ROW())="", "", INDIRECT("'Student_Record 1'!C" &amp; ROW()))</f>
        <v/>
      </c>
      <c r="C1139" s="8" t="str" cm="1">
        <f t="array" aca="1" ref="C1139" ca="1">IF(INDIRECT("'Student_Record 1'!E" &amp; ROW())="", "", INDIRECT("'Student_Record 1'!E" &amp; ROW()))</f>
        <v/>
      </c>
      <c r="D1139" s="8" t="str" cm="1">
        <f t="array" aca="1" ref="D1139" ca="1">IF(INDIRECT("'Student_Record 1'!G" &amp; ROW())="", "", INDIRECT("'Student_Record 1'!G" &amp; ROW()))</f>
        <v/>
      </c>
      <c r="E1139" s="8" t="str" cm="1">
        <f t="array" aca="1" ref="E1139" ca="1">IF(INDIRECT("'Student_Record 1'!I" &amp; ROW())="", "", INDIRECT("'Student_Record 1'!I" &amp; ROW()))</f>
        <v/>
      </c>
      <c r="F1139" s="8" t="str" cm="1">
        <f t="array" aca="1" ref="F1139" ca="1">IF(INDIRECT("'Student_Record 1'!O" &amp; ROW())="", "", INDIRECT("'Student_Record 1'!O" &amp; ROW()))</f>
        <v/>
      </c>
    </row>
    <row r="1140" spans="1:6" x14ac:dyDescent="0.25">
      <c r="A1140" s="8" t="str" cm="1">
        <f t="array" aca="1" ref="A1140" ca="1">IF(INDIRECT("'Student_Record 1'!A" &amp; ROW())="", "", INDIRECT("'Student_Record 1'!A" &amp; ROW()))</f>
        <v/>
      </c>
      <c r="B1140" s="8" t="str" cm="1">
        <f t="array" aca="1" ref="B1140" ca="1">IF(INDIRECT("'Student_Record 1'!C" &amp; ROW())="", "", INDIRECT("'Student_Record 1'!C" &amp; ROW()))</f>
        <v/>
      </c>
      <c r="C1140" s="8" t="str" cm="1">
        <f t="array" aca="1" ref="C1140" ca="1">IF(INDIRECT("'Student_Record 1'!E" &amp; ROW())="", "", INDIRECT("'Student_Record 1'!E" &amp; ROW()))</f>
        <v/>
      </c>
      <c r="D1140" s="8" t="str" cm="1">
        <f t="array" aca="1" ref="D1140" ca="1">IF(INDIRECT("'Student_Record 1'!G" &amp; ROW())="", "", INDIRECT("'Student_Record 1'!G" &amp; ROW()))</f>
        <v/>
      </c>
      <c r="E1140" s="8" t="str" cm="1">
        <f t="array" aca="1" ref="E1140" ca="1">IF(INDIRECT("'Student_Record 1'!I" &amp; ROW())="", "", INDIRECT("'Student_Record 1'!I" &amp; ROW()))</f>
        <v/>
      </c>
      <c r="F1140" s="8" t="str" cm="1">
        <f t="array" aca="1" ref="F1140" ca="1">IF(INDIRECT("'Student_Record 1'!O" &amp; ROW())="", "", INDIRECT("'Student_Record 1'!O" &amp; ROW()))</f>
        <v/>
      </c>
    </row>
    <row r="1141" spans="1:6" x14ac:dyDescent="0.25">
      <c r="A1141" s="8" t="str" cm="1">
        <f t="array" aca="1" ref="A1141" ca="1">IF(INDIRECT("'Student_Record 1'!A" &amp; ROW())="", "", INDIRECT("'Student_Record 1'!A" &amp; ROW()))</f>
        <v/>
      </c>
      <c r="B1141" s="8" t="str" cm="1">
        <f t="array" aca="1" ref="B1141" ca="1">IF(INDIRECT("'Student_Record 1'!C" &amp; ROW())="", "", INDIRECT("'Student_Record 1'!C" &amp; ROW()))</f>
        <v/>
      </c>
      <c r="C1141" s="8" t="str" cm="1">
        <f t="array" aca="1" ref="C1141" ca="1">IF(INDIRECT("'Student_Record 1'!E" &amp; ROW())="", "", INDIRECT("'Student_Record 1'!E" &amp; ROW()))</f>
        <v/>
      </c>
      <c r="D1141" s="8" t="str" cm="1">
        <f t="array" aca="1" ref="D1141" ca="1">IF(INDIRECT("'Student_Record 1'!G" &amp; ROW())="", "", INDIRECT("'Student_Record 1'!G" &amp; ROW()))</f>
        <v/>
      </c>
      <c r="E1141" s="8" t="str" cm="1">
        <f t="array" aca="1" ref="E1141" ca="1">IF(INDIRECT("'Student_Record 1'!I" &amp; ROW())="", "", INDIRECT("'Student_Record 1'!I" &amp; ROW()))</f>
        <v/>
      </c>
      <c r="F1141" s="8" t="str" cm="1">
        <f t="array" aca="1" ref="F1141" ca="1">IF(INDIRECT("'Student_Record 1'!O" &amp; ROW())="", "", INDIRECT("'Student_Record 1'!O" &amp; ROW()))</f>
        <v/>
      </c>
    </row>
    <row r="1142" spans="1:6" x14ac:dyDescent="0.25">
      <c r="A1142" s="8" t="str" cm="1">
        <f t="array" aca="1" ref="A1142" ca="1">IF(INDIRECT("'Student_Record 1'!A" &amp; ROW())="", "", INDIRECT("'Student_Record 1'!A" &amp; ROW()))</f>
        <v/>
      </c>
      <c r="B1142" s="8" t="str" cm="1">
        <f t="array" aca="1" ref="B1142" ca="1">IF(INDIRECT("'Student_Record 1'!C" &amp; ROW())="", "", INDIRECT("'Student_Record 1'!C" &amp; ROW()))</f>
        <v/>
      </c>
      <c r="C1142" s="8" t="str" cm="1">
        <f t="array" aca="1" ref="C1142" ca="1">IF(INDIRECT("'Student_Record 1'!E" &amp; ROW())="", "", INDIRECT("'Student_Record 1'!E" &amp; ROW()))</f>
        <v/>
      </c>
      <c r="D1142" s="8" t="str" cm="1">
        <f t="array" aca="1" ref="D1142" ca="1">IF(INDIRECT("'Student_Record 1'!G" &amp; ROW())="", "", INDIRECT("'Student_Record 1'!G" &amp; ROW()))</f>
        <v/>
      </c>
      <c r="E1142" s="8" t="str" cm="1">
        <f t="array" aca="1" ref="E1142" ca="1">IF(INDIRECT("'Student_Record 1'!I" &amp; ROW())="", "", INDIRECT("'Student_Record 1'!I" &amp; ROW()))</f>
        <v/>
      </c>
      <c r="F1142" s="8" t="str" cm="1">
        <f t="array" aca="1" ref="F1142" ca="1">IF(INDIRECT("'Student_Record 1'!O" &amp; ROW())="", "", INDIRECT("'Student_Record 1'!O" &amp; ROW()))</f>
        <v/>
      </c>
    </row>
    <row r="1143" spans="1:6" x14ac:dyDescent="0.25">
      <c r="A1143" s="8" t="str" cm="1">
        <f t="array" aca="1" ref="A1143" ca="1">IF(INDIRECT("'Student_Record 1'!A" &amp; ROW())="", "", INDIRECT("'Student_Record 1'!A" &amp; ROW()))</f>
        <v/>
      </c>
      <c r="B1143" s="8" t="str" cm="1">
        <f t="array" aca="1" ref="B1143" ca="1">IF(INDIRECT("'Student_Record 1'!C" &amp; ROW())="", "", INDIRECT("'Student_Record 1'!C" &amp; ROW()))</f>
        <v/>
      </c>
      <c r="C1143" s="8" t="str" cm="1">
        <f t="array" aca="1" ref="C1143" ca="1">IF(INDIRECT("'Student_Record 1'!E" &amp; ROW())="", "", INDIRECT("'Student_Record 1'!E" &amp; ROW()))</f>
        <v/>
      </c>
      <c r="D1143" s="8" t="str" cm="1">
        <f t="array" aca="1" ref="D1143" ca="1">IF(INDIRECT("'Student_Record 1'!G" &amp; ROW())="", "", INDIRECT("'Student_Record 1'!G" &amp; ROW()))</f>
        <v/>
      </c>
      <c r="E1143" s="8" t="str" cm="1">
        <f t="array" aca="1" ref="E1143" ca="1">IF(INDIRECT("'Student_Record 1'!I" &amp; ROW())="", "", INDIRECT("'Student_Record 1'!I" &amp; ROW()))</f>
        <v/>
      </c>
      <c r="F1143" s="8" t="str" cm="1">
        <f t="array" aca="1" ref="F1143" ca="1">IF(INDIRECT("'Student_Record 1'!O" &amp; ROW())="", "", INDIRECT("'Student_Record 1'!O" &amp; ROW()))</f>
        <v/>
      </c>
    </row>
    <row r="1144" spans="1:6" x14ac:dyDescent="0.25">
      <c r="A1144" s="8" t="str" cm="1">
        <f t="array" aca="1" ref="A1144" ca="1">IF(INDIRECT("'Student_Record 1'!A" &amp; ROW())="", "", INDIRECT("'Student_Record 1'!A" &amp; ROW()))</f>
        <v/>
      </c>
      <c r="B1144" s="8" t="str" cm="1">
        <f t="array" aca="1" ref="B1144" ca="1">IF(INDIRECT("'Student_Record 1'!C" &amp; ROW())="", "", INDIRECT("'Student_Record 1'!C" &amp; ROW()))</f>
        <v/>
      </c>
      <c r="C1144" s="8" t="str" cm="1">
        <f t="array" aca="1" ref="C1144" ca="1">IF(INDIRECT("'Student_Record 1'!E" &amp; ROW())="", "", INDIRECT("'Student_Record 1'!E" &amp; ROW()))</f>
        <v/>
      </c>
      <c r="D1144" s="8" t="str" cm="1">
        <f t="array" aca="1" ref="D1144" ca="1">IF(INDIRECT("'Student_Record 1'!G" &amp; ROW())="", "", INDIRECT("'Student_Record 1'!G" &amp; ROW()))</f>
        <v/>
      </c>
      <c r="E1144" s="8" t="str" cm="1">
        <f t="array" aca="1" ref="E1144" ca="1">IF(INDIRECT("'Student_Record 1'!I" &amp; ROW())="", "", INDIRECT("'Student_Record 1'!I" &amp; ROW()))</f>
        <v/>
      </c>
      <c r="F1144" s="8" t="str" cm="1">
        <f t="array" aca="1" ref="F1144" ca="1">IF(INDIRECT("'Student_Record 1'!O" &amp; ROW())="", "", INDIRECT("'Student_Record 1'!O" &amp; ROW()))</f>
        <v/>
      </c>
    </row>
    <row r="1145" spans="1:6" x14ac:dyDescent="0.25">
      <c r="A1145" s="8" t="str" cm="1">
        <f t="array" aca="1" ref="A1145" ca="1">IF(INDIRECT("'Student_Record 1'!A" &amp; ROW())="", "", INDIRECT("'Student_Record 1'!A" &amp; ROW()))</f>
        <v/>
      </c>
      <c r="B1145" s="8" t="str" cm="1">
        <f t="array" aca="1" ref="B1145" ca="1">IF(INDIRECT("'Student_Record 1'!C" &amp; ROW())="", "", INDIRECT("'Student_Record 1'!C" &amp; ROW()))</f>
        <v/>
      </c>
      <c r="C1145" s="8" t="str" cm="1">
        <f t="array" aca="1" ref="C1145" ca="1">IF(INDIRECT("'Student_Record 1'!E" &amp; ROW())="", "", INDIRECT("'Student_Record 1'!E" &amp; ROW()))</f>
        <v/>
      </c>
      <c r="D1145" s="8" t="str" cm="1">
        <f t="array" aca="1" ref="D1145" ca="1">IF(INDIRECT("'Student_Record 1'!G" &amp; ROW())="", "", INDIRECT("'Student_Record 1'!G" &amp; ROW()))</f>
        <v/>
      </c>
      <c r="E1145" s="8" t="str" cm="1">
        <f t="array" aca="1" ref="E1145" ca="1">IF(INDIRECT("'Student_Record 1'!I" &amp; ROW())="", "", INDIRECT("'Student_Record 1'!I" &amp; ROW()))</f>
        <v/>
      </c>
      <c r="F1145" s="8" t="str" cm="1">
        <f t="array" aca="1" ref="F1145" ca="1">IF(INDIRECT("'Student_Record 1'!O" &amp; ROW())="", "", INDIRECT("'Student_Record 1'!O" &amp; ROW()))</f>
        <v/>
      </c>
    </row>
    <row r="1146" spans="1:6" x14ac:dyDescent="0.25">
      <c r="A1146" s="8" t="str" cm="1">
        <f t="array" aca="1" ref="A1146" ca="1">IF(INDIRECT("'Student_Record 1'!A" &amp; ROW())="", "", INDIRECT("'Student_Record 1'!A" &amp; ROW()))</f>
        <v/>
      </c>
      <c r="B1146" s="8" t="str" cm="1">
        <f t="array" aca="1" ref="B1146" ca="1">IF(INDIRECT("'Student_Record 1'!C" &amp; ROW())="", "", INDIRECT("'Student_Record 1'!C" &amp; ROW()))</f>
        <v/>
      </c>
      <c r="C1146" s="8" t="str" cm="1">
        <f t="array" aca="1" ref="C1146" ca="1">IF(INDIRECT("'Student_Record 1'!E" &amp; ROW())="", "", INDIRECT("'Student_Record 1'!E" &amp; ROW()))</f>
        <v/>
      </c>
      <c r="D1146" s="8" t="str" cm="1">
        <f t="array" aca="1" ref="D1146" ca="1">IF(INDIRECT("'Student_Record 1'!G" &amp; ROW())="", "", INDIRECT("'Student_Record 1'!G" &amp; ROW()))</f>
        <v/>
      </c>
      <c r="E1146" s="8" t="str" cm="1">
        <f t="array" aca="1" ref="E1146" ca="1">IF(INDIRECT("'Student_Record 1'!I" &amp; ROW())="", "", INDIRECT("'Student_Record 1'!I" &amp; ROW()))</f>
        <v/>
      </c>
      <c r="F1146" s="8" t="str" cm="1">
        <f t="array" aca="1" ref="F1146" ca="1">IF(INDIRECT("'Student_Record 1'!O" &amp; ROW())="", "", INDIRECT("'Student_Record 1'!O" &amp; ROW()))</f>
        <v/>
      </c>
    </row>
    <row r="1147" spans="1:6" x14ac:dyDescent="0.25">
      <c r="A1147" s="8" t="str" cm="1">
        <f t="array" aca="1" ref="A1147" ca="1">IF(INDIRECT("'Student_Record 1'!A" &amp; ROW())="", "", INDIRECT("'Student_Record 1'!A" &amp; ROW()))</f>
        <v/>
      </c>
      <c r="B1147" s="8" t="str" cm="1">
        <f t="array" aca="1" ref="B1147" ca="1">IF(INDIRECT("'Student_Record 1'!C" &amp; ROW())="", "", INDIRECT("'Student_Record 1'!C" &amp; ROW()))</f>
        <v/>
      </c>
      <c r="C1147" s="8" t="str" cm="1">
        <f t="array" aca="1" ref="C1147" ca="1">IF(INDIRECT("'Student_Record 1'!E" &amp; ROW())="", "", INDIRECT("'Student_Record 1'!E" &amp; ROW()))</f>
        <v/>
      </c>
      <c r="D1147" s="8" t="str" cm="1">
        <f t="array" aca="1" ref="D1147" ca="1">IF(INDIRECT("'Student_Record 1'!G" &amp; ROW())="", "", INDIRECT("'Student_Record 1'!G" &amp; ROW()))</f>
        <v/>
      </c>
      <c r="E1147" s="8" t="str" cm="1">
        <f t="array" aca="1" ref="E1147" ca="1">IF(INDIRECT("'Student_Record 1'!I" &amp; ROW())="", "", INDIRECT("'Student_Record 1'!I" &amp; ROW()))</f>
        <v/>
      </c>
      <c r="F1147" s="8" t="str" cm="1">
        <f t="array" aca="1" ref="F1147" ca="1">IF(INDIRECT("'Student_Record 1'!O" &amp; ROW())="", "", INDIRECT("'Student_Record 1'!O" &amp; ROW()))</f>
        <v/>
      </c>
    </row>
    <row r="1148" spans="1:6" x14ac:dyDescent="0.25">
      <c r="A1148" s="8" t="str" cm="1">
        <f t="array" aca="1" ref="A1148" ca="1">IF(INDIRECT("'Student_Record 1'!A" &amp; ROW())="", "", INDIRECT("'Student_Record 1'!A" &amp; ROW()))</f>
        <v/>
      </c>
      <c r="B1148" s="8" t="str" cm="1">
        <f t="array" aca="1" ref="B1148" ca="1">IF(INDIRECT("'Student_Record 1'!C" &amp; ROW())="", "", INDIRECT("'Student_Record 1'!C" &amp; ROW()))</f>
        <v/>
      </c>
      <c r="C1148" s="8" t="str" cm="1">
        <f t="array" aca="1" ref="C1148" ca="1">IF(INDIRECT("'Student_Record 1'!E" &amp; ROW())="", "", INDIRECT("'Student_Record 1'!E" &amp; ROW()))</f>
        <v/>
      </c>
      <c r="D1148" s="8" t="str" cm="1">
        <f t="array" aca="1" ref="D1148" ca="1">IF(INDIRECT("'Student_Record 1'!G" &amp; ROW())="", "", INDIRECT("'Student_Record 1'!G" &amp; ROW()))</f>
        <v/>
      </c>
      <c r="E1148" s="8" t="str" cm="1">
        <f t="array" aca="1" ref="E1148" ca="1">IF(INDIRECT("'Student_Record 1'!I" &amp; ROW())="", "", INDIRECT("'Student_Record 1'!I" &amp; ROW()))</f>
        <v/>
      </c>
      <c r="F1148" s="8" t="str" cm="1">
        <f t="array" aca="1" ref="F1148" ca="1">IF(INDIRECT("'Student_Record 1'!O" &amp; ROW())="", "", INDIRECT("'Student_Record 1'!O" &amp; ROW()))</f>
        <v/>
      </c>
    </row>
    <row r="1149" spans="1:6" x14ac:dyDescent="0.25">
      <c r="A1149" s="8" t="str" cm="1">
        <f t="array" aca="1" ref="A1149" ca="1">IF(INDIRECT("'Student_Record 1'!A" &amp; ROW())="", "", INDIRECT("'Student_Record 1'!A" &amp; ROW()))</f>
        <v/>
      </c>
      <c r="B1149" s="8" t="str" cm="1">
        <f t="array" aca="1" ref="B1149" ca="1">IF(INDIRECT("'Student_Record 1'!C" &amp; ROW())="", "", INDIRECT("'Student_Record 1'!C" &amp; ROW()))</f>
        <v/>
      </c>
      <c r="C1149" s="8" t="str" cm="1">
        <f t="array" aca="1" ref="C1149" ca="1">IF(INDIRECT("'Student_Record 1'!E" &amp; ROW())="", "", INDIRECT("'Student_Record 1'!E" &amp; ROW()))</f>
        <v/>
      </c>
      <c r="D1149" s="8" t="str" cm="1">
        <f t="array" aca="1" ref="D1149" ca="1">IF(INDIRECT("'Student_Record 1'!G" &amp; ROW())="", "", INDIRECT("'Student_Record 1'!G" &amp; ROW()))</f>
        <v/>
      </c>
      <c r="E1149" s="8" t="str" cm="1">
        <f t="array" aca="1" ref="E1149" ca="1">IF(INDIRECT("'Student_Record 1'!I" &amp; ROW())="", "", INDIRECT("'Student_Record 1'!I" &amp; ROW()))</f>
        <v/>
      </c>
      <c r="F1149" s="8" t="str" cm="1">
        <f t="array" aca="1" ref="F1149" ca="1">IF(INDIRECT("'Student_Record 1'!O" &amp; ROW())="", "", INDIRECT("'Student_Record 1'!O" &amp; ROW()))</f>
        <v/>
      </c>
    </row>
    <row r="1150" spans="1:6" x14ac:dyDescent="0.25">
      <c r="A1150" s="8" t="str" cm="1">
        <f t="array" aca="1" ref="A1150" ca="1">IF(INDIRECT("'Student_Record 1'!A" &amp; ROW())="", "", INDIRECT("'Student_Record 1'!A" &amp; ROW()))</f>
        <v/>
      </c>
      <c r="B1150" s="8" t="str" cm="1">
        <f t="array" aca="1" ref="B1150" ca="1">IF(INDIRECT("'Student_Record 1'!C" &amp; ROW())="", "", INDIRECT("'Student_Record 1'!C" &amp; ROW()))</f>
        <v/>
      </c>
      <c r="C1150" s="8" t="str" cm="1">
        <f t="array" aca="1" ref="C1150" ca="1">IF(INDIRECT("'Student_Record 1'!E" &amp; ROW())="", "", INDIRECT("'Student_Record 1'!E" &amp; ROW()))</f>
        <v/>
      </c>
      <c r="D1150" s="8" t="str" cm="1">
        <f t="array" aca="1" ref="D1150" ca="1">IF(INDIRECT("'Student_Record 1'!G" &amp; ROW())="", "", INDIRECT("'Student_Record 1'!G" &amp; ROW()))</f>
        <v/>
      </c>
      <c r="E1150" s="8" t="str" cm="1">
        <f t="array" aca="1" ref="E1150" ca="1">IF(INDIRECT("'Student_Record 1'!I" &amp; ROW())="", "", INDIRECT("'Student_Record 1'!I" &amp; ROW()))</f>
        <v/>
      </c>
      <c r="F1150" s="8" t="str" cm="1">
        <f t="array" aca="1" ref="F1150" ca="1">IF(INDIRECT("'Student_Record 1'!O" &amp; ROW())="", "", INDIRECT("'Student_Record 1'!O" &amp; ROW()))</f>
        <v/>
      </c>
    </row>
    <row r="1151" spans="1:6" x14ac:dyDescent="0.25">
      <c r="A1151" s="8" t="str" cm="1">
        <f t="array" aca="1" ref="A1151" ca="1">IF(INDIRECT("'Student_Record 1'!A" &amp; ROW())="", "", INDIRECT("'Student_Record 1'!A" &amp; ROW()))</f>
        <v/>
      </c>
      <c r="B1151" s="8" t="str" cm="1">
        <f t="array" aca="1" ref="B1151" ca="1">IF(INDIRECT("'Student_Record 1'!C" &amp; ROW())="", "", INDIRECT("'Student_Record 1'!C" &amp; ROW()))</f>
        <v/>
      </c>
      <c r="C1151" s="8" t="str" cm="1">
        <f t="array" aca="1" ref="C1151" ca="1">IF(INDIRECT("'Student_Record 1'!E" &amp; ROW())="", "", INDIRECT("'Student_Record 1'!E" &amp; ROW()))</f>
        <v/>
      </c>
      <c r="D1151" s="8" t="str" cm="1">
        <f t="array" aca="1" ref="D1151" ca="1">IF(INDIRECT("'Student_Record 1'!G" &amp; ROW())="", "", INDIRECT("'Student_Record 1'!G" &amp; ROW()))</f>
        <v/>
      </c>
      <c r="E1151" s="8" t="str" cm="1">
        <f t="array" aca="1" ref="E1151" ca="1">IF(INDIRECT("'Student_Record 1'!I" &amp; ROW())="", "", INDIRECT("'Student_Record 1'!I" &amp; ROW()))</f>
        <v/>
      </c>
      <c r="F1151" s="8" t="str" cm="1">
        <f t="array" aca="1" ref="F1151" ca="1">IF(INDIRECT("'Student_Record 1'!O" &amp; ROW())="", "", INDIRECT("'Student_Record 1'!O" &amp; ROW()))</f>
        <v/>
      </c>
    </row>
    <row r="1152" spans="1:6" x14ac:dyDescent="0.25">
      <c r="A1152" s="8" t="str" cm="1">
        <f t="array" aca="1" ref="A1152" ca="1">IF(INDIRECT("'Student_Record 1'!A" &amp; ROW())="", "", INDIRECT("'Student_Record 1'!A" &amp; ROW()))</f>
        <v/>
      </c>
      <c r="B1152" s="8" t="str" cm="1">
        <f t="array" aca="1" ref="B1152" ca="1">IF(INDIRECT("'Student_Record 1'!C" &amp; ROW())="", "", INDIRECT("'Student_Record 1'!C" &amp; ROW()))</f>
        <v/>
      </c>
      <c r="C1152" s="8" t="str" cm="1">
        <f t="array" aca="1" ref="C1152" ca="1">IF(INDIRECT("'Student_Record 1'!E" &amp; ROW())="", "", INDIRECT("'Student_Record 1'!E" &amp; ROW()))</f>
        <v/>
      </c>
      <c r="D1152" s="8" t="str" cm="1">
        <f t="array" aca="1" ref="D1152" ca="1">IF(INDIRECT("'Student_Record 1'!G" &amp; ROW())="", "", INDIRECT("'Student_Record 1'!G" &amp; ROW()))</f>
        <v/>
      </c>
      <c r="E1152" s="8" t="str" cm="1">
        <f t="array" aca="1" ref="E1152" ca="1">IF(INDIRECT("'Student_Record 1'!I" &amp; ROW())="", "", INDIRECT("'Student_Record 1'!I" &amp; ROW()))</f>
        <v/>
      </c>
      <c r="F1152" s="8" t="str" cm="1">
        <f t="array" aca="1" ref="F1152" ca="1">IF(INDIRECT("'Student_Record 1'!O" &amp; ROW())="", "", INDIRECT("'Student_Record 1'!O" &amp; ROW()))</f>
        <v/>
      </c>
    </row>
    <row r="1153" spans="1:6" x14ac:dyDescent="0.25">
      <c r="A1153" s="8" t="str" cm="1">
        <f t="array" aca="1" ref="A1153" ca="1">IF(INDIRECT("'Student_Record 1'!A" &amp; ROW())="", "", INDIRECT("'Student_Record 1'!A" &amp; ROW()))</f>
        <v/>
      </c>
      <c r="B1153" s="8" t="str" cm="1">
        <f t="array" aca="1" ref="B1153" ca="1">IF(INDIRECT("'Student_Record 1'!C" &amp; ROW())="", "", INDIRECT("'Student_Record 1'!C" &amp; ROW()))</f>
        <v/>
      </c>
      <c r="C1153" s="8" t="str" cm="1">
        <f t="array" aca="1" ref="C1153" ca="1">IF(INDIRECT("'Student_Record 1'!E" &amp; ROW())="", "", INDIRECT("'Student_Record 1'!E" &amp; ROW()))</f>
        <v/>
      </c>
      <c r="D1153" s="8" t="str" cm="1">
        <f t="array" aca="1" ref="D1153" ca="1">IF(INDIRECT("'Student_Record 1'!G" &amp; ROW())="", "", INDIRECT("'Student_Record 1'!G" &amp; ROW()))</f>
        <v/>
      </c>
      <c r="E1153" s="8" t="str" cm="1">
        <f t="array" aca="1" ref="E1153" ca="1">IF(INDIRECT("'Student_Record 1'!I" &amp; ROW())="", "", INDIRECT("'Student_Record 1'!I" &amp; ROW()))</f>
        <v/>
      </c>
      <c r="F1153" s="8" t="str" cm="1">
        <f t="array" aca="1" ref="F1153" ca="1">IF(INDIRECT("'Student_Record 1'!O" &amp; ROW())="", "", INDIRECT("'Student_Record 1'!O" &amp; ROW()))</f>
        <v/>
      </c>
    </row>
    <row r="1154" spans="1:6" x14ac:dyDescent="0.25">
      <c r="A1154" s="8" t="str" cm="1">
        <f t="array" aca="1" ref="A1154" ca="1">IF(INDIRECT("'Student_Record 1'!A" &amp; ROW())="", "", INDIRECT("'Student_Record 1'!A" &amp; ROW()))</f>
        <v/>
      </c>
      <c r="B1154" s="8" t="str" cm="1">
        <f t="array" aca="1" ref="B1154" ca="1">IF(INDIRECT("'Student_Record 1'!C" &amp; ROW())="", "", INDIRECT("'Student_Record 1'!C" &amp; ROW()))</f>
        <v/>
      </c>
      <c r="C1154" s="8" t="str" cm="1">
        <f t="array" aca="1" ref="C1154" ca="1">IF(INDIRECT("'Student_Record 1'!E" &amp; ROW())="", "", INDIRECT("'Student_Record 1'!E" &amp; ROW()))</f>
        <v/>
      </c>
      <c r="D1154" s="8" t="str" cm="1">
        <f t="array" aca="1" ref="D1154" ca="1">IF(INDIRECT("'Student_Record 1'!G" &amp; ROW())="", "", INDIRECT("'Student_Record 1'!G" &amp; ROW()))</f>
        <v/>
      </c>
      <c r="E1154" s="8" t="str" cm="1">
        <f t="array" aca="1" ref="E1154" ca="1">IF(INDIRECT("'Student_Record 1'!I" &amp; ROW())="", "", INDIRECT("'Student_Record 1'!I" &amp; ROW()))</f>
        <v/>
      </c>
      <c r="F1154" s="8" t="str" cm="1">
        <f t="array" aca="1" ref="F1154" ca="1">IF(INDIRECT("'Student_Record 1'!O" &amp; ROW())="", "", INDIRECT("'Student_Record 1'!O" &amp; ROW()))</f>
        <v/>
      </c>
    </row>
    <row r="1155" spans="1:6" x14ac:dyDescent="0.25">
      <c r="A1155" s="8" t="str" cm="1">
        <f t="array" aca="1" ref="A1155" ca="1">IF(INDIRECT("'Student_Record 1'!A" &amp; ROW())="", "", INDIRECT("'Student_Record 1'!A" &amp; ROW()))</f>
        <v/>
      </c>
      <c r="B1155" s="8" t="str" cm="1">
        <f t="array" aca="1" ref="B1155" ca="1">IF(INDIRECT("'Student_Record 1'!C" &amp; ROW())="", "", INDIRECT("'Student_Record 1'!C" &amp; ROW()))</f>
        <v/>
      </c>
      <c r="C1155" s="8" t="str" cm="1">
        <f t="array" aca="1" ref="C1155" ca="1">IF(INDIRECT("'Student_Record 1'!E" &amp; ROW())="", "", INDIRECT("'Student_Record 1'!E" &amp; ROW()))</f>
        <v/>
      </c>
      <c r="D1155" s="8" t="str" cm="1">
        <f t="array" aca="1" ref="D1155" ca="1">IF(INDIRECT("'Student_Record 1'!G" &amp; ROW())="", "", INDIRECT("'Student_Record 1'!G" &amp; ROW()))</f>
        <v/>
      </c>
      <c r="E1155" s="8" t="str" cm="1">
        <f t="array" aca="1" ref="E1155" ca="1">IF(INDIRECT("'Student_Record 1'!I" &amp; ROW())="", "", INDIRECT("'Student_Record 1'!I" &amp; ROW()))</f>
        <v/>
      </c>
      <c r="F1155" s="8" t="str" cm="1">
        <f t="array" aca="1" ref="F1155" ca="1">IF(INDIRECT("'Student_Record 1'!O" &amp; ROW())="", "", INDIRECT("'Student_Record 1'!O" &amp; ROW()))</f>
        <v/>
      </c>
    </row>
    <row r="1156" spans="1:6" x14ac:dyDescent="0.25">
      <c r="A1156" s="8" t="str" cm="1">
        <f t="array" aca="1" ref="A1156" ca="1">IF(INDIRECT("'Student_Record 1'!A" &amp; ROW())="", "", INDIRECT("'Student_Record 1'!A" &amp; ROW()))</f>
        <v/>
      </c>
      <c r="B1156" s="8" t="str" cm="1">
        <f t="array" aca="1" ref="B1156" ca="1">IF(INDIRECT("'Student_Record 1'!C" &amp; ROW())="", "", INDIRECT("'Student_Record 1'!C" &amp; ROW()))</f>
        <v/>
      </c>
      <c r="C1156" s="8" t="str" cm="1">
        <f t="array" aca="1" ref="C1156" ca="1">IF(INDIRECT("'Student_Record 1'!E" &amp; ROW())="", "", INDIRECT("'Student_Record 1'!E" &amp; ROW()))</f>
        <v/>
      </c>
      <c r="D1156" s="8" t="str" cm="1">
        <f t="array" aca="1" ref="D1156" ca="1">IF(INDIRECT("'Student_Record 1'!G" &amp; ROW())="", "", INDIRECT("'Student_Record 1'!G" &amp; ROW()))</f>
        <v/>
      </c>
      <c r="E1156" s="8" t="str" cm="1">
        <f t="array" aca="1" ref="E1156" ca="1">IF(INDIRECT("'Student_Record 1'!I" &amp; ROW())="", "", INDIRECT("'Student_Record 1'!I" &amp; ROW()))</f>
        <v/>
      </c>
      <c r="F1156" s="8" t="str" cm="1">
        <f t="array" aca="1" ref="F1156" ca="1">IF(INDIRECT("'Student_Record 1'!O" &amp; ROW())="", "", INDIRECT("'Student_Record 1'!O" &amp; ROW()))</f>
        <v/>
      </c>
    </row>
    <row r="1157" spans="1:6" x14ac:dyDescent="0.25">
      <c r="A1157" s="8" t="str" cm="1">
        <f t="array" aca="1" ref="A1157" ca="1">IF(INDIRECT("'Student_Record 1'!A" &amp; ROW())="", "", INDIRECT("'Student_Record 1'!A" &amp; ROW()))</f>
        <v/>
      </c>
      <c r="B1157" s="8" t="str" cm="1">
        <f t="array" aca="1" ref="B1157" ca="1">IF(INDIRECT("'Student_Record 1'!C" &amp; ROW())="", "", INDIRECT("'Student_Record 1'!C" &amp; ROW()))</f>
        <v/>
      </c>
      <c r="C1157" s="8" t="str" cm="1">
        <f t="array" aca="1" ref="C1157" ca="1">IF(INDIRECT("'Student_Record 1'!E" &amp; ROW())="", "", INDIRECT("'Student_Record 1'!E" &amp; ROW()))</f>
        <v/>
      </c>
      <c r="D1157" s="8" t="str" cm="1">
        <f t="array" aca="1" ref="D1157" ca="1">IF(INDIRECT("'Student_Record 1'!G" &amp; ROW())="", "", INDIRECT("'Student_Record 1'!G" &amp; ROW()))</f>
        <v/>
      </c>
      <c r="E1157" s="8" t="str" cm="1">
        <f t="array" aca="1" ref="E1157" ca="1">IF(INDIRECT("'Student_Record 1'!I" &amp; ROW())="", "", INDIRECT("'Student_Record 1'!I" &amp; ROW()))</f>
        <v/>
      </c>
      <c r="F1157" s="8" t="str" cm="1">
        <f t="array" aca="1" ref="F1157" ca="1">IF(INDIRECT("'Student_Record 1'!O" &amp; ROW())="", "", INDIRECT("'Student_Record 1'!O" &amp; ROW()))</f>
        <v/>
      </c>
    </row>
    <row r="1158" spans="1:6" x14ac:dyDescent="0.25">
      <c r="A1158" s="8" t="str" cm="1">
        <f t="array" aca="1" ref="A1158" ca="1">IF(INDIRECT("'Student_Record 1'!A" &amp; ROW())="", "", INDIRECT("'Student_Record 1'!A" &amp; ROW()))</f>
        <v/>
      </c>
      <c r="B1158" s="8" t="str" cm="1">
        <f t="array" aca="1" ref="B1158" ca="1">IF(INDIRECT("'Student_Record 1'!C" &amp; ROW())="", "", INDIRECT("'Student_Record 1'!C" &amp; ROW()))</f>
        <v/>
      </c>
      <c r="C1158" s="8" t="str" cm="1">
        <f t="array" aca="1" ref="C1158" ca="1">IF(INDIRECT("'Student_Record 1'!E" &amp; ROW())="", "", INDIRECT("'Student_Record 1'!E" &amp; ROW()))</f>
        <v/>
      </c>
      <c r="D1158" s="8" t="str" cm="1">
        <f t="array" aca="1" ref="D1158" ca="1">IF(INDIRECT("'Student_Record 1'!G" &amp; ROW())="", "", INDIRECT("'Student_Record 1'!G" &amp; ROW()))</f>
        <v/>
      </c>
      <c r="E1158" s="8" t="str" cm="1">
        <f t="array" aca="1" ref="E1158" ca="1">IF(INDIRECT("'Student_Record 1'!I" &amp; ROW())="", "", INDIRECT("'Student_Record 1'!I" &amp; ROW()))</f>
        <v/>
      </c>
      <c r="F1158" s="8" t="str" cm="1">
        <f t="array" aca="1" ref="F1158" ca="1">IF(INDIRECT("'Student_Record 1'!O" &amp; ROW())="", "", INDIRECT("'Student_Record 1'!O" &amp; ROW()))</f>
        <v/>
      </c>
    </row>
    <row r="1159" spans="1:6" x14ac:dyDescent="0.25">
      <c r="A1159" s="8" t="str" cm="1">
        <f t="array" aca="1" ref="A1159" ca="1">IF(INDIRECT("'Student_Record 1'!A" &amp; ROW())="", "", INDIRECT("'Student_Record 1'!A" &amp; ROW()))</f>
        <v/>
      </c>
      <c r="B1159" s="8" t="str" cm="1">
        <f t="array" aca="1" ref="B1159" ca="1">IF(INDIRECT("'Student_Record 1'!C" &amp; ROW())="", "", INDIRECT("'Student_Record 1'!C" &amp; ROW()))</f>
        <v/>
      </c>
      <c r="C1159" s="8" t="str" cm="1">
        <f t="array" aca="1" ref="C1159" ca="1">IF(INDIRECT("'Student_Record 1'!E" &amp; ROW())="", "", INDIRECT("'Student_Record 1'!E" &amp; ROW()))</f>
        <v/>
      </c>
      <c r="D1159" s="8" t="str" cm="1">
        <f t="array" aca="1" ref="D1159" ca="1">IF(INDIRECT("'Student_Record 1'!G" &amp; ROW())="", "", INDIRECT("'Student_Record 1'!G" &amp; ROW()))</f>
        <v/>
      </c>
      <c r="E1159" s="8" t="str" cm="1">
        <f t="array" aca="1" ref="E1159" ca="1">IF(INDIRECT("'Student_Record 1'!I" &amp; ROW())="", "", INDIRECT("'Student_Record 1'!I" &amp; ROW()))</f>
        <v/>
      </c>
      <c r="F1159" s="8" t="str" cm="1">
        <f t="array" aca="1" ref="F1159" ca="1">IF(INDIRECT("'Student_Record 1'!O" &amp; ROW())="", "", INDIRECT("'Student_Record 1'!O" &amp; ROW()))</f>
        <v/>
      </c>
    </row>
    <row r="1160" spans="1:6" x14ac:dyDescent="0.25">
      <c r="A1160" s="8" t="str" cm="1">
        <f t="array" aca="1" ref="A1160" ca="1">IF(INDIRECT("'Student_Record 1'!A" &amp; ROW())="", "", INDIRECT("'Student_Record 1'!A" &amp; ROW()))</f>
        <v/>
      </c>
      <c r="B1160" s="8" t="str" cm="1">
        <f t="array" aca="1" ref="B1160" ca="1">IF(INDIRECT("'Student_Record 1'!C" &amp; ROW())="", "", INDIRECT("'Student_Record 1'!C" &amp; ROW()))</f>
        <v/>
      </c>
      <c r="C1160" s="8" t="str" cm="1">
        <f t="array" aca="1" ref="C1160" ca="1">IF(INDIRECT("'Student_Record 1'!E" &amp; ROW())="", "", INDIRECT("'Student_Record 1'!E" &amp; ROW()))</f>
        <v/>
      </c>
      <c r="D1160" s="8" t="str" cm="1">
        <f t="array" aca="1" ref="D1160" ca="1">IF(INDIRECT("'Student_Record 1'!G" &amp; ROW())="", "", INDIRECT("'Student_Record 1'!G" &amp; ROW()))</f>
        <v/>
      </c>
      <c r="E1160" s="8" t="str" cm="1">
        <f t="array" aca="1" ref="E1160" ca="1">IF(INDIRECT("'Student_Record 1'!I" &amp; ROW())="", "", INDIRECT("'Student_Record 1'!I" &amp; ROW()))</f>
        <v/>
      </c>
      <c r="F1160" s="8" t="str" cm="1">
        <f t="array" aca="1" ref="F1160" ca="1">IF(INDIRECT("'Student_Record 1'!O" &amp; ROW())="", "", INDIRECT("'Student_Record 1'!O" &amp; ROW()))</f>
        <v/>
      </c>
    </row>
    <row r="1161" spans="1:6" x14ac:dyDescent="0.25">
      <c r="A1161" s="8" t="str" cm="1">
        <f t="array" aca="1" ref="A1161" ca="1">IF(INDIRECT("'Student_Record 1'!A" &amp; ROW())="", "", INDIRECT("'Student_Record 1'!A" &amp; ROW()))</f>
        <v/>
      </c>
      <c r="B1161" s="8" t="str" cm="1">
        <f t="array" aca="1" ref="B1161" ca="1">IF(INDIRECT("'Student_Record 1'!C" &amp; ROW())="", "", INDIRECT("'Student_Record 1'!C" &amp; ROW()))</f>
        <v/>
      </c>
      <c r="C1161" s="8" t="str" cm="1">
        <f t="array" aca="1" ref="C1161" ca="1">IF(INDIRECT("'Student_Record 1'!E" &amp; ROW())="", "", INDIRECT("'Student_Record 1'!E" &amp; ROW()))</f>
        <v/>
      </c>
      <c r="D1161" s="8" t="str" cm="1">
        <f t="array" aca="1" ref="D1161" ca="1">IF(INDIRECT("'Student_Record 1'!G" &amp; ROW())="", "", INDIRECT("'Student_Record 1'!G" &amp; ROW()))</f>
        <v/>
      </c>
      <c r="E1161" s="8" t="str" cm="1">
        <f t="array" aca="1" ref="E1161" ca="1">IF(INDIRECT("'Student_Record 1'!I" &amp; ROW())="", "", INDIRECT("'Student_Record 1'!I" &amp; ROW()))</f>
        <v/>
      </c>
      <c r="F1161" s="8" t="str" cm="1">
        <f t="array" aca="1" ref="F1161" ca="1">IF(INDIRECT("'Student_Record 1'!O" &amp; ROW())="", "", INDIRECT("'Student_Record 1'!O" &amp; ROW()))</f>
        <v/>
      </c>
    </row>
    <row r="1162" spans="1:6" x14ac:dyDescent="0.25">
      <c r="A1162" s="8" t="str" cm="1">
        <f t="array" aca="1" ref="A1162" ca="1">IF(INDIRECT("'Student_Record 1'!A" &amp; ROW())="", "", INDIRECT("'Student_Record 1'!A" &amp; ROW()))</f>
        <v/>
      </c>
      <c r="B1162" s="8" t="str" cm="1">
        <f t="array" aca="1" ref="B1162" ca="1">IF(INDIRECT("'Student_Record 1'!C" &amp; ROW())="", "", INDIRECT("'Student_Record 1'!C" &amp; ROW()))</f>
        <v/>
      </c>
      <c r="C1162" s="8" t="str" cm="1">
        <f t="array" aca="1" ref="C1162" ca="1">IF(INDIRECT("'Student_Record 1'!E" &amp; ROW())="", "", INDIRECT("'Student_Record 1'!E" &amp; ROW()))</f>
        <v/>
      </c>
      <c r="D1162" s="8" t="str" cm="1">
        <f t="array" aca="1" ref="D1162" ca="1">IF(INDIRECT("'Student_Record 1'!G" &amp; ROW())="", "", INDIRECT("'Student_Record 1'!G" &amp; ROW()))</f>
        <v/>
      </c>
      <c r="E1162" s="8" t="str" cm="1">
        <f t="array" aca="1" ref="E1162" ca="1">IF(INDIRECT("'Student_Record 1'!I" &amp; ROW())="", "", INDIRECT("'Student_Record 1'!I" &amp; ROW()))</f>
        <v/>
      </c>
      <c r="F1162" s="8" t="str" cm="1">
        <f t="array" aca="1" ref="F1162" ca="1">IF(INDIRECT("'Student_Record 1'!O" &amp; ROW())="", "", INDIRECT("'Student_Record 1'!O" &amp; ROW()))</f>
        <v/>
      </c>
    </row>
    <row r="1163" spans="1:6" x14ac:dyDescent="0.25">
      <c r="A1163" s="8" t="str" cm="1">
        <f t="array" aca="1" ref="A1163" ca="1">IF(INDIRECT("'Student_Record 1'!A" &amp; ROW())="", "", INDIRECT("'Student_Record 1'!A" &amp; ROW()))</f>
        <v/>
      </c>
      <c r="B1163" s="8" t="str" cm="1">
        <f t="array" aca="1" ref="B1163" ca="1">IF(INDIRECT("'Student_Record 1'!C" &amp; ROW())="", "", INDIRECT("'Student_Record 1'!C" &amp; ROW()))</f>
        <v/>
      </c>
      <c r="C1163" s="8" t="str" cm="1">
        <f t="array" aca="1" ref="C1163" ca="1">IF(INDIRECT("'Student_Record 1'!E" &amp; ROW())="", "", INDIRECT("'Student_Record 1'!E" &amp; ROW()))</f>
        <v/>
      </c>
      <c r="D1163" s="8" t="str" cm="1">
        <f t="array" aca="1" ref="D1163" ca="1">IF(INDIRECT("'Student_Record 1'!G" &amp; ROW())="", "", INDIRECT("'Student_Record 1'!G" &amp; ROW()))</f>
        <v/>
      </c>
      <c r="E1163" s="8" t="str" cm="1">
        <f t="array" aca="1" ref="E1163" ca="1">IF(INDIRECT("'Student_Record 1'!I" &amp; ROW())="", "", INDIRECT("'Student_Record 1'!I" &amp; ROW()))</f>
        <v/>
      </c>
      <c r="F1163" s="8" t="str" cm="1">
        <f t="array" aca="1" ref="F1163" ca="1">IF(INDIRECT("'Student_Record 1'!O" &amp; ROW())="", "", INDIRECT("'Student_Record 1'!O" &amp; ROW()))</f>
        <v/>
      </c>
    </row>
    <row r="1164" spans="1:6" x14ac:dyDescent="0.25">
      <c r="A1164" s="8" t="str" cm="1">
        <f t="array" aca="1" ref="A1164" ca="1">IF(INDIRECT("'Student_Record 1'!A" &amp; ROW())="", "", INDIRECT("'Student_Record 1'!A" &amp; ROW()))</f>
        <v/>
      </c>
      <c r="B1164" s="8" t="str" cm="1">
        <f t="array" aca="1" ref="B1164" ca="1">IF(INDIRECT("'Student_Record 1'!C" &amp; ROW())="", "", INDIRECT("'Student_Record 1'!C" &amp; ROW()))</f>
        <v/>
      </c>
      <c r="C1164" s="8" t="str" cm="1">
        <f t="array" aca="1" ref="C1164" ca="1">IF(INDIRECT("'Student_Record 1'!E" &amp; ROW())="", "", INDIRECT("'Student_Record 1'!E" &amp; ROW()))</f>
        <v/>
      </c>
      <c r="D1164" s="8" t="str" cm="1">
        <f t="array" aca="1" ref="D1164" ca="1">IF(INDIRECT("'Student_Record 1'!G" &amp; ROW())="", "", INDIRECT("'Student_Record 1'!G" &amp; ROW()))</f>
        <v/>
      </c>
      <c r="E1164" s="8" t="str" cm="1">
        <f t="array" aca="1" ref="E1164" ca="1">IF(INDIRECT("'Student_Record 1'!I" &amp; ROW())="", "", INDIRECT("'Student_Record 1'!I" &amp; ROW()))</f>
        <v/>
      </c>
      <c r="F1164" s="8" t="str" cm="1">
        <f t="array" aca="1" ref="F1164" ca="1">IF(INDIRECT("'Student_Record 1'!O" &amp; ROW())="", "", INDIRECT("'Student_Record 1'!O" &amp; ROW()))</f>
        <v/>
      </c>
    </row>
    <row r="1165" spans="1:6" x14ac:dyDescent="0.25">
      <c r="A1165" s="8" t="str" cm="1">
        <f t="array" aca="1" ref="A1165" ca="1">IF(INDIRECT("'Student_Record 1'!A" &amp; ROW())="", "", INDIRECT("'Student_Record 1'!A" &amp; ROW()))</f>
        <v/>
      </c>
      <c r="B1165" s="8" t="str" cm="1">
        <f t="array" aca="1" ref="B1165" ca="1">IF(INDIRECT("'Student_Record 1'!C" &amp; ROW())="", "", INDIRECT("'Student_Record 1'!C" &amp; ROW()))</f>
        <v/>
      </c>
      <c r="C1165" s="8" t="str" cm="1">
        <f t="array" aca="1" ref="C1165" ca="1">IF(INDIRECT("'Student_Record 1'!E" &amp; ROW())="", "", INDIRECT("'Student_Record 1'!E" &amp; ROW()))</f>
        <v/>
      </c>
      <c r="D1165" s="8" t="str" cm="1">
        <f t="array" aca="1" ref="D1165" ca="1">IF(INDIRECT("'Student_Record 1'!G" &amp; ROW())="", "", INDIRECT("'Student_Record 1'!G" &amp; ROW()))</f>
        <v/>
      </c>
      <c r="E1165" s="8" t="str" cm="1">
        <f t="array" aca="1" ref="E1165" ca="1">IF(INDIRECT("'Student_Record 1'!I" &amp; ROW())="", "", INDIRECT("'Student_Record 1'!I" &amp; ROW()))</f>
        <v/>
      </c>
      <c r="F1165" s="8" t="str" cm="1">
        <f t="array" aca="1" ref="F1165" ca="1">IF(INDIRECT("'Student_Record 1'!O" &amp; ROW())="", "", INDIRECT("'Student_Record 1'!O" &amp; ROW()))</f>
        <v/>
      </c>
    </row>
    <row r="1166" spans="1:6" x14ac:dyDescent="0.25">
      <c r="A1166" s="8" t="str" cm="1">
        <f t="array" aca="1" ref="A1166" ca="1">IF(INDIRECT("'Student_Record 1'!A" &amp; ROW())="", "", INDIRECT("'Student_Record 1'!A" &amp; ROW()))</f>
        <v/>
      </c>
      <c r="B1166" s="8" t="str" cm="1">
        <f t="array" aca="1" ref="B1166" ca="1">IF(INDIRECT("'Student_Record 1'!C" &amp; ROW())="", "", INDIRECT("'Student_Record 1'!C" &amp; ROW()))</f>
        <v/>
      </c>
      <c r="C1166" s="8" t="str" cm="1">
        <f t="array" aca="1" ref="C1166" ca="1">IF(INDIRECT("'Student_Record 1'!E" &amp; ROW())="", "", INDIRECT("'Student_Record 1'!E" &amp; ROW()))</f>
        <v/>
      </c>
      <c r="D1166" s="8" t="str" cm="1">
        <f t="array" aca="1" ref="D1166" ca="1">IF(INDIRECT("'Student_Record 1'!G" &amp; ROW())="", "", INDIRECT("'Student_Record 1'!G" &amp; ROW()))</f>
        <v/>
      </c>
      <c r="E1166" s="8" t="str" cm="1">
        <f t="array" aca="1" ref="E1166" ca="1">IF(INDIRECT("'Student_Record 1'!I" &amp; ROW())="", "", INDIRECT("'Student_Record 1'!I" &amp; ROW()))</f>
        <v/>
      </c>
      <c r="F1166" s="8" t="str" cm="1">
        <f t="array" aca="1" ref="F1166" ca="1">IF(INDIRECT("'Student_Record 1'!O" &amp; ROW())="", "", INDIRECT("'Student_Record 1'!O" &amp; ROW()))</f>
        <v/>
      </c>
    </row>
    <row r="1167" spans="1:6" x14ac:dyDescent="0.25">
      <c r="A1167" s="8" t="str" cm="1">
        <f t="array" aca="1" ref="A1167" ca="1">IF(INDIRECT("'Student_Record 1'!A" &amp; ROW())="", "", INDIRECT("'Student_Record 1'!A" &amp; ROW()))</f>
        <v/>
      </c>
      <c r="B1167" s="8" t="str" cm="1">
        <f t="array" aca="1" ref="B1167" ca="1">IF(INDIRECT("'Student_Record 1'!C" &amp; ROW())="", "", INDIRECT("'Student_Record 1'!C" &amp; ROW()))</f>
        <v/>
      </c>
      <c r="C1167" s="8" t="str" cm="1">
        <f t="array" aca="1" ref="C1167" ca="1">IF(INDIRECT("'Student_Record 1'!E" &amp; ROW())="", "", INDIRECT("'Student_Record 1'!E" &amp; ROW()))</f>
        <v/>
      </c>
      <c r="D1167" s="8" t="str" cm="1">
        <f t="array" aca="1" ref="D1167" ca="1">IF(INDIRECT("'Student_Record 1'!G" &amp; ROW())="", "", INDIRECT("'Student_Record 1'!G" &amp; ROW()))</f>
        <v/>
      </c>
      <c r="E1167" s="8" t="str" cm="1">
        <f t="array" aca="1" ref="E1167" ca="1">IF(INDIRECT("'Student_Record 1'!I" &amp; ROW())="", "", INDIRECT("'Student_Record 1'!I" &amp; ROW()))</f>
        <v/>
      </c>
      <c r="F1167" s="8" t="str" cm="1">
        <f t="array" aca="1" ref="F1167" ca="1">IF(INDIRECT("'Student_Record 1'!O" &amp; ROW())="", "", INDIRECT("'Student_Record 1'!O" &amp; ROW()))</f>
        <v/>
      </c>
    </row>
    <row r="1168" spans="1:6" x14ac:dyDescent="0.25">
      <c r="A1168" s="8" t="str" cm="1">
        <f t="array" aca="1" ref="A1168" ca="1">IF(INDIRECT("'Student_Record 1'!A" &amp; ROW())="", "", INDIRECT("'Student_Record 1'!A" &amp; ROW()))</f>
        <v/>
      </c>
      <c r="B1168" s="8" t="str" cm="1">
        <f t="array" aca="1" ref="B1168" ca="1">IF(INDIRECT("'Student_Record 1'!C" &amp; ROW())="", "", INDIRECT("'Student_Record 1'!C" &amp; ROW()))</f>
        <v/>
      </c>
      <c r="C1168" s="8" t="str" cm="1">
        <f t="array" aca="1" ref="C1168" ca="1">IF(INDIRECT("'Student_Record 1'!E" &amp; ROW())="", "", INDIRECT("'Student_Record 1'!E" &amp; ROW()))</f>
        <v/>
      </c>
      <c r="D1168" s="8" t="str" cm="1">
        <f t="array" aca="1" ref="D1168" ca="1">IF(INDIRECT("'Student_Record 1'!G" &amp; ROW())="", "", INDIRECT("'Student_Record 1'!G" &amp; ROW()))</f>
        <v/>
      </c>
      <c r="E1168" s="8" t="str" cm="1">
        <f t="array" aca="1" ref="E1168" ca="1">IF(INDIRECT("'Student_Record 1'!I" &amp; ROW())="", "", INDIRECT("'Student_Record 1'!I" &amp; ROW()))</f>
        <v/>
      </c>
      <c r="F1168" s="8" t="str" cm="1">
        <f t="array" aca="1" ref="F1168" ca="1">IF(INDIRECT("'Student_Record 1'!O" &amp; ROW())="", "", INDIRECT("'Student_Record 1'!O" &amp; ROW()))</f>
        <v/>
      </c>
    </row>
    <row r="1169" spans="1:6" x14ac:dyDescent="0.25">
      <c r="A1169" s="8" t="str" cm="1">
        <f t="array" aca="1" ref="A1169" ca="1">IF(INDIRECT("'Student_Record 1'!A" &amp; ROW())="", "", INDIRECT("'Student_Record 1'!A" &amp; ROW()))</f>
        <v/>
      </c>
      <c r="B1169" s="8" t="str" cm="1">
        <f t="array" aca="1" ref="B1169" ca="1">IF(INDIRECT("'Student_Record 1'!C" &amp; ROW())="", "", INDIRECT("'Student_Record 1'!C" &amp; ROW()))</f>
        <v/>
      </c>
      <c r="C1169" s="8" t="str" cm="1">
        <f t="array" aca="1" ref="C1169" ca="1">IF(INDIRECT("'Student_Record 1'!E" &amp; ROW())="", "", INDIRECT("'Student_Record 1'!E" &amp; ROW()))</f>
        <v/>
      </c>
      <c r="D1169" s="8" t="str" cm="1">
        <f t="array" aca="1" ref="D1169" ca="1">IF(INDIRECT("'Student_Record 1'!G" &amp; ROW())="", "", INDIRECT("'Student_Record 1'!G" &amp; ROW()))</f>
        <v/>
      </c>
      <c r="E1169" s="8" t="str" cm="1">
        <f t="array" aca="1" ref="E1169" ca="1">IF(INDIRECT("'Student_Record 1'!I" &amp; ROW())="", "", INDIRECT("'Student_Record 1'!I" &amp; ROW()))</f>
        <v/>
      </c>
      <c r="F1169" s="8" t="str" cm="1">
        <f t="array" aca="1" ref="F1169" ca="1">IF(INDIRECT("'Student_Record 1'!O" &amp; ROW())="", "", INDIRECT("'Student_Record 1'!O" &amp; ROW()))</f>
        <v/>
      </c>
    </row>
    <row r="1170" spans="1:6" x14ac:dyDescent="0.25">
      <c r="A1170" s="8" t="str" cm="1">
        <f t="array" aca="1" ref="A1170" ca="1">IF(INDIRECT("'Student_Record 1'!A" &amp; ROW())="", "", INDIRECT("'Student_Record 1'!A" &amp; ROW()))</f>
        <v/>
      </c>
      <c r="B1170" s="8" t="str" cm="1">
        <f t="array" aca="1" ref="B1170" ca="1">IF(INDIRECT("'Student_Record 1'!C" &amp; ROW())="", "", INDIRECT("'Student_Record 1'!C" &amp; ROW()))</f>
        <v/>
      </c>
      <c r="C1170" s="8" t="str" cm="1">
        <f t="array" aca="1" ref="C1170" ca="1">IF(INDIRECT("'Student_Record 1'!E" &amp; ROW())="", "", INDIRECT("'Student_Record 1'!E" &amp; ROW()))</f>
        <v/>
      </c>
      <c r="D1170" s="8" t="str" cm="1">
        <f t="array" aca="1" ref="D1170" ca="1">IF(INDIRECT("'Student_Record 1'!G" &amp; ROW())="", "", INDIRECT("'Student_Record 1'!G" &amp; ROW()))</f>
        <v/>
      </c>
      <c r="E1170" s="8" t="str" cm="1">
        <f t="array" aca="1" ref="E1170" ca="1">IF(INDIRECT("'Student_Record 1'!I" &amp; ROW())="", "", INDIRECT("'Student_Record 1'!I" &amp; ROW()))</f>
        <v/>
      </c>
      <c r="F1170" s="8" t="str" cm="1">
        <f t="array" aca="1" ref="F1170" ca="1">IF(INDIRECT("'Student_Record 1'!O" &amp; ROW())="", "", INDIRECT("'Student_Record 1'!O" &amp; ROW()))</f>
        <v/>
      </c>
    </row>
    <row r="1171" spans="1:6" x14ac:dyDescent="0.25">
      <c r="A1171" s="8" t="str" cm="1">
        <f t="array" aca="1" ref="A1171" ca="1">IF(INDIRECT("'Student_Record 1'!A" &amp; ROW())="", "", INDIRECT("'Student_Record 1'!A" &amp; ROW()))</f>
        <v/>
      </c>
      <c r="B1171" s="8" t="str" cm="1">
        <f t="array" aca="1" ref="B1171" ca="1">IF(INDIRECT("'Student_Record 1'!C" &amp; ROW())="", "", INDIRECT("'Student_Record 1'!C" &amp; ROW()))</f>
        <v/>
      </c>
      <c r="C1171" s="8" t="str" cm="1">
        <f t="array" aca="1" ref="C1171" ca="1">IF(INDIRECT("'Student_Record 1'!E" &amp; ROW())="", "", INDIRECT("'Student_Record 1'!E" &amp; ROW()))</f>
        <v/>
      </c>
      <c r="D1171" s="8" t="str" cm="1">
        <f t="array" aca="1" ref="D1171" ca="1">IF(INDIRECT("'Student_Record 1'!G" &amp; ROW())="", "", INDIRECT("'Student_Record 1'!G" &amp; ROW()))</f>
        <v/>
      </c>
      <c r="E1171" s="8" t="str" cm="1">
        <f t="array" aca="1" ref="E1171" ca="1">IF(INDIRECT("'Student_Record 1'!I" &amp; ROW())="", "", INDIRECT("'Student_Record 1'!I" &amp; ROW()))</f>
        <v/>
      </c>
      <c r="F1171" s="8" t="str" cm="1">
        <f t="array" aca="1" ref="F1171" ca="1">IF(INDIRECT("'Student_Record 1'!O" &amp; ROW())="", "", INDIRECT("'Student_Record 1'!O" &amp; ROW()))</f>
        <v/>
      </c>
    </row>
    <row r="1172" spans="1:6" x14ac:dyDescent="0.25">
      <c r="A1172" s="8" t="str" cm="1">
        <f t="array" aca="1" ref="A1172" ca="1">IF(INDIRECT("'Student_Record 1'!A" &amp; ROW())="", "", INDIRECT("'Student_Record 1'!A" &amp; ROW()))</f>
        <v/>
      </c>
      <c r="B1172" s="8" t="str" cm="1">
        <f t="array" aca="1" ref="B1172" ca="1">IF(INDIRECT("'Student_Record 1'!C" &amp; ROW())="", "", INDIRECT("'Student_Record 1'!C" &amp; ROW()))</f>
        <v/>
      </c>
      <c r="C1172" s="8" t="str" cm="1">
        <f t="array" aca="1" ref="C1172" ca="1">IF(INDIRECT("'Student_Record 1'!E" &amp; ROW())="", "", INDIRECT("'Student_Record 1'!E" &amp; ROW()))</f>
        <v/>
      </c>
      <c r="D1172" s="8" t="str" cm="1">
        <f t="array" aca="1" ref="D1172" ca="1">IF(INDIRECT("'Student_Record 1'!G" &amp; ROW())="", "", INDIRECT("'Student_Record 1'!G" &amp; ROW()))</f>
        <v/>
      </c>
      <c r="E1172" s="8" t="str" cm="1">
        <f t="array" aca="1" ref="E1172" ca="1">IF(INDIRECT("'Student_Record 1'!I" &amp; ROW())="", "", INDIRECT("'Student_Record 1'!I" &amp; ROW()))</f>
        <v/>
      </c>
      <c r="F1172" s="8" t="str" cm="1">
        <f t="array" aca="1" ref="F1172" ca="1">IF(INDIRECT("'Student_Record 1'!O" &amp; ROW())="", "", INDIRECT("'Student_Record 1'!O" &amp; ROW()))</f>
        <v/>
      </c>
    </row>
    <row r="1173" spans="1:6" x14ac:dyDescent="0.25">
      <c r="A1173" s="8" t="str" cm="1">
        <f t="array" aca="1" ref="A1173" ca="1">IF(INDIRECT("'Student_Record 1'!A" &amp; ROW())="", "", INDIRECT("'Student_Record 1'!A" &amp; ROW()))</f>
        <v/>
      </c>
      <c r="B1173" s="8" t="str" cm="1">
        <f t="array" aca="1" ref="B1173" ca="1">IF(INDIRECT("'Student_Record 1'!C" &amp; ROW())="", "", INDIRECT("'Student_Record 1'!C" &amp; ROW()))</f>
        <v/>
      </c>
      <c r="C1173" s="8" t="str" cm="1">
        <f t="array" aca="1" ref="C1173" ca="1">IF(INDIRECT("'Student_Record 1'!E" &amp; ROW())="", "", INDIRECT("'Student_Record 1'!E" &amp; ROW()))</f>
        <v/>
      </c>
      <c r="D1173" s="8" t="str" cm="1">
        <f t="array" aca="1" ref="D1173" ca="1">IF(INDIRECT("'Student_Record 1'!G" &amp; ROW())="", "", INDIRECT("'Student_Record 1'!G" &amp; ROW()))</f>
        <v/>
      </c>
      <c r="E1173" s="8" t="str" cm="1">
        <f t="array" aca="1" ref="E1173" ca="1">IF(INDIRECT("'Student_Record 1'!I" &amp; ROW())="", "", INDIRECT("'Student_Record 1'!I" &amp; ROW()))</f>
        <v/>
      </c>
      <c r="F1173" s="8" t="str" cm="1">
        <f t="array" aca="1" ref="F1173" ca="1">IF(INDIRECT("'Student_Record 1'!O" &amp; ROW())="", "", INDIRECT("'Student_Record 1'!O" &amp; ROW()))</f>
        <v/>
      </c>
    </row>
    <row r="1174" spans="1:6" x14ac:dyDescent="0.25">
      <c r="A1174" s="8" t="str" cm="1">
        <f t="array" aca="1" ref="A1174" ca="1">IF(INDIRECT("'Student_Record 1'!A" &amp; ROW())="", "", INDIRECT("'Student_Record 1'!A" &amp; ROW()))</f>
        <v/>
      </c>
      <c r="B1174" s="8" t="str" cm="1">
        <f t="array" aca="1" ref="B1174" ca="1">IF(INDIRECT("'Student_Record 1'!C" &amp; ROW())="", "", INDIRECT("'Student_Record 1'!C" &amp; ROW()))</f>
        <v/>
      </c>
      <c r="C1174" s="8" t="str" cm="1">
        <f t="array" aca="1" ref="C1174" ca="1">IF(INDIRECT("'Student_Record 1'!E" &amp; ROW())="", "", INDIRECT("'Student_Record 1'!E" &amp; ROW()))</f>
        <v/>
      </c>
      <c r="D1174" s="8" t="str" cm="1">
        <f t="array" aca="1" ref="D1174" ca="1">IF(INDIRECT("'Student_Record 1'!G" &amp; ROW())="", "", INDIRECT("'Student_Record 1'!G" &amp; ROW()))</f>
        <v/>
      </c>
      <c r="E1174" s="8" t="str" cm="1">
        <f t="array" aca="1" ref="E1174" ca="1">IF(INDIRECT("'Student_Record 1'!I" &amp; ROW())="", "", INDIRECT("'Student_Record 1'!I" &amp; ROW()))</f>
        <v/>
      </c>
      <c r="F1174" s="8" t="str" cm="1">
        <f t="array" aca="1" ref="F1174" ca="1">IF(INDIRECT("'Student_Record 1'!O" &amp; ROW())="", "", INDIRECT("'Student_Record 1'!O" &amp; ROW()))</f>
        <v/>
      </c>
    </row>
    <row r="1175" spans="1:6" x14ac:dyDescent="0.25">
      <c r="A1175" s="8" t="str" cm="1">
        <f t="array" aca="1" ref="A1175" ca="1">IF(INDIRECT("'Student_Record 1'!A" &amp; ROW())="", "", INDIRECT("'Student_Record 1'!A" &amp; ROW()))</f>
        <v/>
      </c>
      <c r="B1175" s="8" t="str" cm="1">
        <f t="array" aca="1" ref="B1175" ca="1">IF(INDIRECT("'Student_Record 1'!C" &amp; ROW())="", "", INDIRECT("'Student_Record 1'!C" &amp; ROW()))</f>
        <v/>
      </c>
      <c r="C1175" s="8" t="str" cm="1">
        <f t="array" aca="1" ref="C1175" ca="1">IF(INDIRECT("'Student_Record 1'!E" &amp; ROW())="", "", INDIRECT("'Student_Record 1'!E" &amp; ROW()))</f>
        <v/>
      </c>
      <c r="D1175" s="8" t="str" cm="1">
        <f t="array" aca="1" ref="D1175" ca="1">IF(INDIRECT("'Student_Record 1'!G" &amp; ROW())="", "", INDIRECT("'Student_Record 1'!G" &amp; ROW()))</f>
        <v/>
      </c>
      <c r="E1175" s="8" t="str" cm="1">
        <f t="array" aca="1" ref="E1175" ca="1">IF(INDIRECT("'Student_Record 1'!I" &amp; ROW())="", "", INDIRECT("'Student_Record 1'!I" &amp; ROW()))</f>
        <v/>
      </c>
      <c r="F1175" s="8" t="str" cm="1">
        <f t="array" aca="1" ref="F1175" ca="1">IF(INDIRECT("'Student_Record 1'!O" &amp; ROW())="", "", INDIRECT("'Student_Record 1'!O" &amp; ROW()))</f>
        <v/>
      </c>
    </row>
    <row r="1176" spans="1:6" x14ac:dyDescent="0.25">
      <c r="A1176" s="8" t="str" cm="1">
        <f t="array" aca="1" ref="A1176" ca="1">IF(INDIRECT("'Student_Record 1'!A" &amp; ROW())="", "", INDIRECT("'Student_Record 1'!A" &amp; ROW()))</f>
        <v/>
      </c>
      <c r="B1176" s="8" t="str" cm="1">
        <f t="array" aca="1" ref="B1176" ca="1">IF(INDIRECT("'Student_Record 1'!C" &amp; ROW())="", "", INDIRECT("'Student_Record 1'!C" &amp; ROW()))</f>
        <v/>
      </c>
      <c r="C1176" s="8" t="str" cm="1">
        <f t="array" aca="1" ref="C1176" ca="1">IF(INDIRECT("'Student_Record 1'!E" &amp; ROW())="", "", INDIRECT("'Student_Record 1'!E" &amp; ROW()))</f>
        <v/>
      </c>
      <c r="D1176" s="8" t="str" cm="1">
        <f t="array" aca="1" ref="D1176" ca="1">IF(INDIRECT("'Student_Record 1'!G" &amp; ROW())="", "", INDIRECT("'Student_Record 1'!G" &amp; ROW()))</f>
        <v/>
      </c>
      <c r="E1176" s="8" t="str" cm="1">
        <f t="array" aca="1" ref="E1176" ca="1">IF(INDIRECT("'Student_Record 1'!I" &amp; ROW())="", "", INDIRECT("'Student_Record 1'!I" &amp; ROW()))</f>
        <v/>
      </c>
      <c r="F1176" s="8" t="str" cm="1">
        <f t="array" aca="1" ref="F1176" ca="1">IF(INDIRECT("'Student_Record 1'!O" &amp; ROW())="", "", INDIRECT("'Student_Record 1'!O" &amp; ROW()))</f>
        <v/>
      </c>
    </row>
    <row r="1177" spans="1:6" x14ac:dyDescent="0.25">
      <c r="A1177" s="8" t="str" cm="1">
        <f t="array" aca="1" ref="A1177" ca="1">IF(INDIRECT("'Student_Record 1'!A" &amp; ROW())="", "", INDIRECT("'Student_Record 1'!A" &amp; ROW()))</f>
        <v/>
      </c>
      <c r="B1177" s="8" t="str" cm="1">
        <f t="array" aca="1" ref="B1177" ca="1">IF(INDIRECT("'Student_Record 1'!C" &amp; ROW())="", "", INDIRECT("'Student_Record 1'!C" &amp; ROW()))</f>
        <v/>
      </c>
      <c r="C1177" s="8" t="str" cm="1">
        <f t="array" aca="1" ref="C1177" ca="1">IF(INDIRECT("'Student_Record 1'!E" &amp; ROW())="", "", INDIRECT("'Student_Record 1'!E" &amp; ROW()))</f>
        <v/>
      </c>
      <c r="D1177" s="8" t="str" cm="1">
        <f t="array" aca="1" ref="D1177" ca="1">IF(INDIRECT("'Student_Record 1'!G" &amp; ROW())="", "", INDIRECT("'Student_Record 1'!G" &amp; ROW()))</f>
        <v/>
      </c>
      <c r="E1177" s="8" t="str" cm="1">
        <f t="array" aca="1" ref="E1177" ca="1">IF(INDIRECT("'Student_Record 1'!I" &amp; ROW())="", "", INDIRECT("'Student_Record 1'!I" &amp; ROW()))</f>
        <v/>
      </c>
      <c r="F1177" s="8" t="str" cm="1">
        <f t="array" aca="1" ref="F1177" ca="1">IF(INDIRECT("'Student_Record 1'!O" &amp; ROW())="", "", INDIRECT("'Student_Record 1'!O" &amp; ROW()))</f>
        <v/>
      </c>
    </row>
    <row r="1178" spans="1:6" x14ac:dyDescent="0.25">
      <c r="A1178" s="8" t="str" cm="1">
        <f t="array" aca="1" ref="A1178" ca="1">IF(INDIRECT("'Student_Record 1'!A" &amp; ROW())="", "", INDIRECT("'Student_Record 1'!A" &amp; ROW()))</f>
        <v/>
      </c>
      <c r="B1178" s="8" t="str" cm="1">
        <f t="array" aca="1" ref="B1178" ca="1">IF(INDIRECT("'Student_Record 1'!C" &amp; ROW())="", "", INDIRECT("'Student_Record 1'!C" &amp; ROW()))</f>
        <v/>
      </c>
      <c r="C1178" s="8" t="str" cm="1">
        <f t="array" aca="1" ref="C1178" ca="1">IF(INDIRECT("'Student_Record 1'!E" &amp; ROW())="", "", INDIRECT("'Student_Record 1'!E" &amp; ROW()))</f>
        <v/>
      </c>
      <c r="D1178" s="8" t="str" cm="1">
        <f t="array" aca="1" ref="D1178" ca="1">IF(INDIRECT("'Student_Record 1'!G" &amp; ROW())="", "", INDIRECT("'Student_Record 1'!G" &amp; ROW()))</f>
        <v/>
      </c>
      <c r="E1178" s="8" t="str" cm="1">
        <f t="array" aca="1" ref="E1178" ca="1">IF(INDIRECT("'Student_Record 1'!I" &amp; ROW())="", "", INDIRECT("'Student_Record 1'!I" &amp; ROW()))</f>
        <v/>
      </c>
      <c r="F1178" s="8" t="str" cm="1">
        <f t="array" aca="1" ref="F1178" ca="1">IF(INDIRECT("'Student_Record 1'!O" &amp; ROW())="", "", INDIRECT("'Student_Record 1'!O" &amp; ROW()))</f>
        <v/>
      </c>
    </row>
    <row r="1179" spans="1:6" x14ac:dyDescent="0.25">
      <c r="A1179" s="8" t="str" cm="1">
        <f t="array" aca="1" ref="A1179" ca="1">IF(INDIRECT("'Student_Record 1'!A" &amp; ROW())="", "", INDIRECT("'Student_Record 1'!A" &amp; ROW()))</f>
        <v/>
      </c>
      <c r="B1179" s="8" t="str" cm="1">
        <f t="array" aca="1" ref="B1179" ca="1">IF(INDIRECT("'Student_Record 1'!C" &amp; ROW())="", "", INDIRECT("'Student_Record 1'!C" &amp; ROW()))</f>
        <v/>
      </c>
      <c r="C1179" s="8" t="str" cm="1">
        <f t="array" aca="1" ref="C1179" ca="1">IF(INDIRECT("'Student_Record 1'!E" &amp; ROW())="", "", INDIRECT("'Student_Record 1'!E" &amp; ROW()))</f>
        <v/>
      </c>
      <c r="D1179" s="8" t="str" cm="1">
        <f t="array" aca="1" ref="D1179" ca="1">IF(INDIRECT("'Student_Record 1'!G" &amp; ROW())="", "", INDIRECT("'Student_Record 1'!G" &amp; ROW()))</f>
        <v/>
      </c>
      <c r="E1179" s="8" t="str" cm="1">
        <f t="array" aca="1" ref="E1179" ca="1">IF(INDIRECT("'Student_Record 1'!I" &amp; ROW())="", "", INDIRECT("'Student_Record 1'!I" &amp; ROW()))</f>
        <v/>
      </c>
      <c r="F1179" s="8" t="str" cm="1">
        <f t="array" aca="1" ref="F1179" ca="1">IF(INDIRECT("'Student_Record 1'!O" &amp; ROW())="", "", INDIRECT("'Student_Record 1'!O" &amp; ROW()))</f>
        <v/>
      </c>
    </row>
    <row r="1180" spans="1:6" x14ac:dyDescent="0.25">
      <c r="A1180" s="8" t="str" cm="1">
        <f t="array" aca="1" ref="A1180" ca="1">IF(INDIRECT("'Student_Record 1'!A" &amp; ROW())="", "", INDIRECT("'Student_Record 1'!A" &amp; ROW()))</f>
        <v/>
      </c>
      <c r="B1180" s="8" t="str" cm="1">
        <f t="array" aca="1" ref="B1180" ca="1">IF(INDIRECT("'Student_Record 1'!C" &amp; ROW())="", "", INDIRECT("'Student_Record 1'!C" &amp; ROW()))</f>
        <v/>
      </c>
      <c r="C1180" s="8" t="str" cm="1">
        <f t="array" aca="1" ref="C1180" ca="1">IF(INDIRECT("'Student_Record 1'!E" &amp; ROW())="", "", INDIRECT("'Student_Record 1'!E" &amp; ROW()))</f>
        <v/>
      </c>
      <c r="D1180" s="8" t="str" cm="1">
        <f t="array" aca="1" ref="D1180" ca="1">IF(INDIRECT("'Student_Record 1'!G" &amp; ROW())="", "", INDIRECT("'Student_Record 1'!G" &amp; ROW()))</f>
        <v/>
      </c>
      <c r="E1180" s="8" t="str" cm="1">
        <f t="array" aca="1" ref="E1180" ca="1">IF(INDIRECT("'Student_Record 1'!I" &amp; ROW())="", "", INDIRECT("'Student_Record 1'!I" &amp; ROW()))</f>
        <v/>
      </c>
      <c r="F1180" s="8" t="str" cm="1">
        <f t="array" aca="1" ref="F1180" ca="1">IF(INDIRECT("'Student_Record 1'!O" &amp; ROW())="", "", INDIRECT("'Student_Record 1'!O" &amp; ROW()))</f>
        <v/>
      </c>
    </row>
    <row r="1181" spans="1:6" x14ac:dyDescent="0.25">
      <c r="A1181" s="8" t="str" cm="1">
        <f t="array" aca="1" ref="A1181" ca="1">IF(INDIRECT("'Student_Record 1'!A" &amp; ROW())="", "", INDIRECT("'Student_Record 1'!A" &amp; ROW()))</f>
        <v/>
      </c>
      <c r="B1181" s="8" t="str" cm="1">
        <f t="array" aca="1" ref="B1181" ca="1">IF(INDIRECT("'Student_Record 1'!C" &amp; ROW())="", "", INDIRECT("'Student_Record 1'!C" &amp; ROW()))</f>
        <v/>
      </c>
      <c r="C1181" s="8" t="str" cm="1">
        <f t="array" aca="1" ref="C1181" ca="1">IF(INDIRECT("'Student_Record 1'!E" &amp; ROW())="", "", INDIRECT("'Student_Record 1'!E" &amp; ROW()))</f>
        <v/>
      </c>
      <c r="D1181" s="8" t="str" cm="1">
        <f t="array" aca="1" ref="D1181" ca="1">IF(INDIRECT("'Student_Record 1'!G" &amp; ROW())="", "", INDIRECT("'Student_Record 1'!G" &amp; ROW()))</f>
        <v/>
      </c>
      <c r="E1181" s="8" t="str" cm="1">
        <f t="array" aca="1" ref="E1181" ca="1">IF(INDIRECT("'Student_Record 1'!I" &amp; ROW())="", "", INDIRECT("'Student_Record 1'!I" &amp; ROW()))</f>
        <v/>
      </c>
      <c r="F1181" s="8" t="str" cm="1">
        <f t="array" aca="1" ref="F1181" ca="1">IF(INDIRECT("'Student_Record 1'!O" &amp; ROW())="", "", INDIRECT("'Student_Record 1'!O" &amp; ROW()))</f>
        <v/>
      </c>
    </row>
    <row r="1182" spans="1:6" x14ac:dyDescent="0.25">
      <c r="A1182" s="8" t="str" cm="1">
        <f t="array" aca="1" ref="A1182" ca="1">IF(INDIRECT("'Student_Record 1'!A" &amp; ROW())="", "", INDIRECT("'Student_Record 1'!A" &amp; ROW()))</f>
        <v/>
      </c>
      <c r="B1182" s="8" t="str" cm="1">
        <f t="array" aca="1" ref="B1182" ca="1">IF(INDIRECT("'Student_Record 1'!C" &amp; ROW())="", "", INDIRECT("'Student_Record 1'!C" &amp; ROW()))</f>
        <v/>
      </c>
      <c r="C1182" s="8" t="str" cm="1">
        <f t="array" aca="1" ref="C1182" ca="1">IF(INDIRECT("'Student_Record 1'!E" &amp; ROW())="", "", INDIRECT("'Student_Record 1'!E" &amp; ROW()))</f>
        <v/>
      </c>
      <c r="D1182" s="8" t="str" cm="1">
        <f t="array" aca="1" ref="D1182" ca="1">IF(INDIRECT("'Student_Record 1'!G" &amp; ROW())="", "", INDIRECT("'Student_Record 1'!G" &amp; ROW()))</f>
        <v/>
      </c>
      <c r="E1182" s="8" t="str" cm="1">
        <f t="array" aca="1" ref="E1182" ca="1">IF(INDIRECT("'Student_Record 1'!I" &amp; ROW())="", "", INDIRECT("'Student_Record 1'!I" &amp; ROW()))</f>
        <v/>
      </c>
      <c r="F1182" s="8" t="str" cm="1">
        <f t="array" aca="1" ref="F1182" ca="1">IF(INDIRECT("'Student_Record 1'!O" &amp; ROW())="", "", INDIRECT("'Student_Record 1'!O" &amp; ROW()))</f>
        <v/>
      </c>
    </row>
    <row r="1183" spans="1:6" x14ac:dyDescent="0.25">
      <c r="A1183" s="8" t="str" cm="1">
        <f t="array" aca="1" ref="A1183" ca="1">IF(INDIRECT("'Student_Record 1'!A" &amp; ROW())="", "", INDIRECT("'Student_Record 1'!A" &amp; ROW()))</f>
        <v/>
      </c>
      <c r="B1183" s="8" t="str" cm="1">
        <f t="array" aca="1" ref="B1183" ca="1">IF(INDIRECT("'Student_Record 1'!C" &amp; ROW())="", "", INDIRECT("'Student_Record 1'!C" &amp; ROW()))</f>
        <v/>
      </c>
      <c r="C1183" s="8" t="str" cm="1">
        <f t="array" aca="1" ref="C1183" ca="1">IF(INDIRECT("'Student_Record 1'!E" &amp; ROW())="", "", INDIRECT("'Student_Record 1'!E" &amp; ROW()))</f>
        <v/>
      </c>
      <c r="D1183" s="8" t="str" cm="1">
        <f t="array" aca="1" ref="D1183" ca="1">IF(INDIRECT("'Student_Record 1'!G" &amp; ROW())="", "", INDIRECT("'Student_Record 1'!G" &amp; ROW()))</f>
        <v/>
      </c>
      <c r="E1183" s="8" t="str" cm="1">
        <f t="array" aca="1" ref="E1183" ca="1">IF(INDIRECT("'Student_Record 1'!I" &amp; ROW())="", "", INDIRECT("'Student_Record 1'!I" &amp; ROW()))</f>
        <v/>
      </c>
      <c r="F1183" s="8" t="str" cm="1">
        <f t="array" aca="1" ref="F1183" ca="1">IF(INDIRECT("'Student_Record 1'!O" &amp; ROW())="", "", INDIRECT("'Student_Record 1'!O" &amp; ROW()))</f>
        <v/>
      </c>
    </row>
    <row r="1184" spans="1:6" x14ac:dyDescent="0.25">
      <c r="A1184" s="8" t="str" cm="1">
        <f t="array" aca="1" ref="A1184" ca="1">IF(INDIRECT("'Student_Record 1'!A" &amp; ROW())="", "", INDIRECT("'Student_Record 1'!A" &amp; ROW()))</f>
        <v/>
      </c>
      <c r="B1184" s="8" t="str" cm="1">
        <f t="array" aca="1" ref="B1184" ca="1">IF(INDIRECT("'Student_Record 1'!C" &amp; ROW())="", "", INDIRECT("'Student_Record 1'!C" &amp; ROW()))</f>
        <v/>
      </c>
      <c r="C1184" s="8" t="str" cm="1">
        <f t="array" aca="1" ref="C1184" ca="1">IF(INDIRECT("'Student_Record 1'!E" &amp; ROW())="", "", INDIRECT("'Student_Record 1'!E" &amp; ROW()))</f>
        <v/>
      </c>
      <c r="D1184" s="8" t="str" cm="1">
        <f t="array" aca="1" ref="D1184" ca="1">IF(INDIRECT("'Student_Record 1'!G" &amp; ROW())="", "", INDIRECT("'Student_Record 1'!G" &amp; ROW()))</f>
        <v/>
      </c>
      <c r="E1184" s="8" t="str" cm="1">
        <f t="array" aca="1" ref="E1184" ca="1">IF(INDIRECT("'Student_Record 1'!I" &amp; ROW())="", "", INDIRECT("'Student_Record 1'!I" &amp; ROW()))</f>
        <v/>
      </c>
      <c r="F1184" s="8" t="str" cm="1">
        <f t="array" aca="1" ref="F1184" ca="1">IF(INDIRECT("'Student_Record 1'!O" &amp; ROW())="", "", INDIRECT("'Student_Record 1'!O" &amp; ROW()))</f>
        <v/>
      </c>
    </row>
    <row r="1185" spans="1:6" x14ac:dyDescent="0.25">
      <c r="A1185" s="8" t="str" cm="1">
        <f t="array" aca="1" ref="A1185" ca="1">IF(INDIRECT("'Student_Record 1'!A" &amp; ROW())="", "", INDIRECT("'Student_Record 1'!A" &amp; ROW()))</f>
        <v/>
      </c>
      <c r="B1185" s="8" t="str" cm="1">
        <f t="array" aca="1" ref="B1185" ca="1">IF(INDIRECT("'Student_Record 1'!C" &amp; ROW())="", "", INDIRECT("'Student_Record 1'!C" &amp; ROW()))</f>
        <v/>
      </c>
      <c r="C1185" s="8" t="str" cm="1">
        <f t="array" aca="1" ref="C1185" ca="1">IF(INDIRECT("'Student_Record 1'!E" &amp; ROW())="", "", INDIRECT("'Student_Record 1'!E" &amp; ROW()))</f>
        <v/>
      </c>
      <c r="D1185" s="8" t="str" cm="1">
        <f t="array" aca="1" ref="D1185" ca="1">IF(INDIRECT("'Student_Record 1'!G" &amp; ROW())="", "", INDIRECT("'Student_Record 1'!G" &amp; ROW()))</f>
        <v/>
      </c>
      <c r="E1185" s="8" t="str" cm="1">
        <f t="array" aca="1" ref="E1185" ca="1">IF(INDIRECT("'Student_Record 1'!I" &amp; ROW())="", "", INDIRECT("'Student_Record 1'!I" &amp; ROW()))</f>
        <v/>
      </c>
      <c r="F1185" s="8" t="str" cm="1">
        <f t="array" aca="1" ref="F1185" ca="1">IF(INDIRECT("'Student_Record 1'!O" &amp; ROW())="", "", INDIRECT("'Student_Record 1'!O" &amp; ROW()))</f>
        <v/>
      </c>
    </row>
    <row r="1186" spans="1:6" x14ac:dyDescent="0.25">
      <c r="A1186" s="8" t="str" cm="1">
        <f t="array" aca="1" ref="A1186" ca="1">IF(INDIRECT("'Student_Record 1'!A" &amp; ROW())="", "", INDIRECT("'Student_Record 1'!A" &amp; ROW()))</f>
        <v/>
      </c>
      <c r="B1186" s="8" t="str" cm="1">
        <f t="array" aca="1" ref="B1186" ca="1">IF(INDIRECT("'Student_Record 1'!C" &amp; ROW())="", "", INDIRECT("'Student_Record 1'!C" &amp; ROW()))</f>
        <v/>
      </c>
      <c r="C1186" s="8" t="str" cm="1">
        <f t="array" aca="1" ref="C1186" ca="1">IF(INDIRECT("'Student_Record 1'!E" &amp; ROW())="", "", INDIRECT("'Student_Record 1'!E" &amp; ROW()))</f>
        <v/>
      </c>
      <c r="D1186" s="8" t="str" cm="1">
        <f t="array" aca="1" ref="D1186" ca="1">IF(INDIRECT("'Student_Record 1'!G" &amp; ROW())="", "", INDIRECT("'Student_Record 1'!G" &amp; ROW()))</f>
        <v/>
      </c>
      <c r="E1186" s="8" t="str" cm="1">
        <f t="array" aca="1" ref="E1186" ca="1">IF(INDIRECT("'Student_Record 1'!I" &amp; ROW())="", "", INDIRECT("'Student_Record 1'!I" &amp; ROW()))</f>
        <v/>
      </c>
      <c r="F1186" s="8" t="str" cm="1">
        <f t="array" aca="1" ref="F1186" ca="1">IF(INDIRECT("'Student_Record 1'!O" &amp; ROW())="", "", INDIRECT("'Student_Record 1'!O" &amp; ROW()))</f>
        <v/>
      </c>
    </row>
    <row r="1187" spans="1:6" x14ac:dyDescent="0.25">
      <c r="A1187" s="8" t="str" cm="1">
        <f t="array" aca="1" ref="A1187" ca="1">IF(INDIRECT("'Student_Record 1'!A" &amp; ROW())="", "", INDIRECT("'Student_Record 1'!A" &amp; ROW()))</f>
        <v/>
      </c>
      <c r="B1187" s="8" t="str" cm="1">
        <f t="array" aca="1" ref="B1187" ca="1">IF(INDIRECT("'Student_Record 1'!C" &amp; ROW())="", "", INDIRECT("'Student_Record 1'!C" &amp; ROW()))</f>
        <v/>
      </c>
      <c r="C1187" s="8" t="str" cm="1">
        <f t="array" aca="1" ref="C1187" ca="1">IF(INDIRECT("'Student_Record 1'!E" &amp; ROW())="", "", INDIRECT("'Student_Record 1'!E" &amp; ROW()))</f>
        <v/>
      </c>
      <c r="D1187" s="8" t="str" cm="1">
        <f t="array" aca="1" ref="D1187" ca="1">IF(INDIRECT("'Student_Record 1'!G" &amp; ROW())="", "", INDIRECT("'Student_Record 1'!G" &amp; ROW()))</f>
        <v/>
      </c>
      <c r="E1187" s="8" t="str" cm="1">
        <f t="array" aca="1" ref="E1187" ca="1">IF(INDIRECT("'Student_Record 1'!I" &amp; ROW())="", "", INDIRECT("'Student_Record 1'!I" &amp; ROW()))</f>
        <v/>
      </c>
      <c r="F1187" s="8" t="str" cm="1">
        <f t="array" aca="1" ref="F1187" ca="1">IF(INDIRECT("'Student_Record 1'!O" &amp; ROW())="", "", INDIRECT("'Student_Record 1'!O" &amp; ROW()))</f>
        <v/>
      </c>
    </row>
    <row r="1188" spans="1:6" x14ac:dyDescent="0.25">
      <c r="A1188" s="8" t="str" cm="1">
        <f t="array" aca="1" ref="A1188" ca="1">IF(INDIRECT("'Student_Record 1'!A" &amp; ROW())="", "", INDIRECT("'Student_Record 1'!A" &amp; ROW()))</f>
        <v/>
      </c>
      <c r="B1188" s="8" t="str" cm="1">
        <f t="array" aca="1" ref="B1188" ca="1">IF(INDIRECT("'Student_Record 1'!C" &amp; ROW())="", "", INDIRECT("'Student_Record 1'!C" &amp; ROW()))</f>
        <v/>
      </c>
      <c r="C1188" s="8" t="str" cm="1">
        <f t="array" aca="1" ref="C1188" ca="1">IF(INDIRECT("'Student_Record 1'!E" &amp; ROW())="", "", INDIRECT("'Student_Record 1'!E" &amp; ROW()))</f>
        <v/>
      </c>
      <c r="D1188" s="8" t="str" cm="1">
        <f t="array" aca="1" ref="D1188" ca="1">IF(INDIRECT("'Student_Record 1'!G" &amp; ROW())="", "", INDIRECT("'Student_Record 1'!G" &amp; ROW()))</f>
        <v/>
      </c>
      <c r="E1188" s="8" t="str" cm="1">
        <f t="array" aca="1" ref="E1188" ca="1">IF(INDIRECT("'Student_Record 1'!I" &amp; ROW())="", "", INDIRECT("'Student_Record 1'!I" &amp; ROW()))</f>
        <v/>
      </c>
      <c r="F1188" s="8" t="str" cm="1">
        <f t="array" aca="1" ref="F1188" ca="1">IF(INDIRECT("'Student_Record 1'!O" &amp; ROW())="", "", INDIRECT("'Student_Record 1'!O" &amp; ROW()))</f>
        <v/>
      </c>
    </row>
    <row r="1189" spans="1:6" x14ac:dyDescent="0.25">
      <c r="A1189" s="8" t="str" cm="1">
        <f t="array" aca="1" ref="A1189" ca="1">IF(INDIRECT("'Student_Record 1'!A" &amp; ROW())="", "", INDIRECT("'Student_Record 1'!A" &amp; ROW()))</f>
        <v/>
      </c>
      <c r="B1189" s="8" t="str" cm="1">
        <f t="array" aca="1" ref="B1189" ca="1">IF(INDIRECT("'Student_Record 1'!C" &amp; ROW())="", "", INDIRECT("'Student_Record 1'!C" &amp; ROW()))</f>
        <v/>
      </c>
      <c r="C1189" s="8" t="str" cm="1">
        <f t="array" aca="1" ref="C1189" ca="1">IF(INDIRECT("'Student_Record 1'!E" &amp; ROW())="", "", INDIRECT("'Student_Record 1'!E" &amp; ROW()))</f>
        <v/>
      </c>
      <c r="D1189" s="8" t="str" cm="1">
        <f t="array" aca="1" ref="D1189" ca="1">IF(INDIRECT("'Student_Record 1'!G" &amp; ROW())="", "", INDIRECT("'Student_Record 1'!G" &amp; ROW()))</f>
        <v/>
      </c>
      <c r="E1189" s="8" t="str" cm="1">
        <f t="array" aca="1" ref="E1189" ca="1">IF(INDIRECT("'Student_Record 1'!I" &amp; ROW())="", "", INDIRECT("'Student_Record 1'!I" &amp; ROW()))</f>
        <v/>
      </c>
      <c r="F1189" s="8" t="str" cm="1">
        <f t="array" aca="1" ref="F1189" ca="1">IF(INDIRECT("'Student_Record 1'!O" &amp; ROW())="", "", INDIRECT("'Student_Record 1'!O" &amp; ROW()))</f>
        <v/>
      </c>
    </row>
    <row r="1190" spans="1:6" x14ac:dyDescent="0.25">
      <c r="A1190" s="8" t="str" cm="1">
        <f t="array" aca="1" ref="A1190" ca="1">IF(INDIRECT("'Student_Record 1'!A" &amp; ROW())="", "", INDIRECT("'Student_Record 1'!A" &amp; ROW()))</f>
        <v/>
      </c>
      <c r="B1190" s="8" t="str" cm="1">
        <f t="array" aca="1" ref="B1190" ca="1">IF(INDIRECT("'Student_Record 1'!C" &amp; ROW())="", "", INDIRECT("'Student_Record 1'!C" &amp; ROW()))</f>
        <v/>
      </c>
      <c r="C1190" s="8" t="str" cm="1">
        <f t="array" aca="1" ref="C1190" ca="1">IF(INDIRECT("'Student_Record 1'!E" &amp; ROW())="", "", INDIRECT("'Student_Record 1'!E" &amp; ROW()))</f>
        <v/>
      </c>
      <c r="D1190" s="8" t="str" cm="1">
        <f t="array" aca="1" ref="D1190" ca="1">IF(INDIRECT("'Student_Record 1'!G" &amp; ROW())="", "", INDIRECT("'Student_Record 1'!G" &amp; ROW()))</f>
        <v/>
      </c>
      <c r="E1190" s="8" t="str" cm="1">
        <f t="array" aca="1" ref="E1190" ca="1">IF(INDIRECT("'Student_Record 1'!I" &amp; ROW())="", "", INDIRECT("'Student_Record 1'!I" &amp; ROW()))</f>
        <v/>
      </c>
      <c r="F1190" s="8" t="str" cm="1">
        <f t="array" aca="1" ref="F1190" ca="1">IF(INDIRECT("'Student_Record 1'!O" &amp; ROW())="", "", INDIRECT("'Student_Record 1'!O" &amp; ROW()))</f>
        <v/>
      </c>
    </row>
    <row r="1191" spans="1:6" x14ac:dyDescent="0.25">
      <c r="A1191" s="8" t="str" cm="1">
        <f t="array" aca="1" ref="A1191" ca="1">IF(INDIRECT("'Student_Record 1'!A" &amp; ROW())="", "", INDIRECT("'Student_Record 1'!A" &amp; ROW()))</f>
        <v/>
      </c>
      <c r="B1191" s="8" t="str" cm="1">
        <f t="array" aca="1" ref="B1191" ca="1">IF(INDIRECT("'Student_Record 1'!C" &amp; ROW())="", "", INDIRECT("'Student_Record 1'!C" &amp; ROW()))</f>
        <v/>
      </c>
      <c r="C1191" s="8" t="str" cm="1">
        <f t="array" aca="1" ref="C1191" ca="1">IF(INDIRECT("'Student_Record 1'!E" &amp; ROW())="", "", INDIRECT("'Student_Record 1'!E" &amp; ROW()))</f>
        <v/>
      </c>
      <c r="D1191" s="8" t="str" cm="1">
        <f t="array" aca="1" ref="D1191" ca="1">IF(INDIRECT("'Student_Record 1'!G" &amp; ROW())="", "", INDIRECT("'Student_Record 1'!G" &amp; ROW()))</f>
        <v/>
      </c>
      <c r="E1191" s="8" t="str" cm="1">
        <f t="array" aca="1" ref="E1191" ca="1">IF(INDIRECT("'Student_Record 1'!I" &amp; ROW())="", "", INDIRECT("'Student_Record 1'!I" &amp; ROW()))</f>
        <v/>
      </c>
      <c r="F1191" s="8" t="str" cm="1">
        <f t="array" aca="1" ref="F1191" ca="1">IF(INDIRECT("'Student_Record 1'!O" &amp; ROW())="", "", INDIRECT("'Student_Record 1'!O" &amp; ROW()))</f>
        <v/>
      </c>
    </row>
    <row r="1192" spans="1:6" x14ac:dyDescent="0.25">
      <c r="A1192" s="8" t="str" cm="1">
        <f t="array" aca="1" ref="A1192" ca="1">IF(INDIRECT("'Student_Record 1'!A" &amp; ROW())="", "", INDIRECT("'Student_Record 1'!A" &amp; ROW()))</f>
        <v/>
      </c>
      <c r="B1192" s="8" t="str" cm="1">
        <f t="array" aca="1" ref="B1192" ca="1">IF(INDIRECT("'Student_Record 1'!C" &amp; ROW())="", "", INDIRECT("'Student_Record 1'!C" &amp; ROW()))</f>
        <v/>
      </c>
      <c r="C1192" s="8" t="str" cm="1">
        <f t="array" aca="1" ref="C1192" ca="1">IF(INDIRECT("'Student_Record 1'!E" &amp; ROW())="", "", INDIRECT("'Student_Record 1'!E" &amp; ROW()))</f>
        <v/>
      </c>
      <c r="D1192" s="8" t="str" cm="1">
        <f t="array" aca="1" ref="D1192" ca="1">IF(INDIRECT("'Student_Record 1'!G" &amp; ROW())="", "", INDIRECT("'Student_Record 1'!G" &amp; ROW()))</f>
        <v/>
      </c>
      <c r="E1192" s="8" t="str" cm="1">
        <f t="array" aca="1" ref="E1192" ca="1">IF(INDIRECT("'Student_Record 1'!I" &amp; ROW())="", "", INDIRECT("'Student_Record 1'!I" &amp; ROW()))</f>
        <v/>
      </c>
      <c r="F1192" s="8" t="str" cm="1">
        <f t="array" aca="1" ref="F1192" ca="1">IF(INDIRECT("'Student_Record 1'!O" &amp; ROW())="", "", INDIRECT("'Student_Record 1'!O" &amp; ROW()))</f>
        <v/>
      </c>
    </row>
    <row r="1193" spans="1:6" x14ac:dyDescent="0.25">
      <c r="A1193" s="8" t="str" cm="1">
        <f t="array" aca="1" ref="A1193" ca="1">IF(INDIRECT("'Student_Record 1'!A" &amp; ROW())="", "", INDIRECT("'Student_Record 1'!A" &amp; ROW()))</f>
        <v/>
      </c>
      <c r="B1193" s="8" t="str" cm="1">
        <f t="array" aca="1" ref="B1193" ca="1">IF(INDIRECT("'Student_Record 1'!C" &amp; ROW())="", "", INDIRECT("'Student_Record 1'!C" &amp; ROW()))</f>
        <v/>
      </c>
      <c r="C1193" s="8" t="str" cm="1">
        <f t="array" aca="1" ref="C1193" ca="1">IF(INDIRECT("'Student_Record 1'!E" &amp; ROW())="", "", INDIRECT("'Student_Record 1'!E" &amp; ROW()))</f>
        <v/>
      </c>
      <c r="D1193" s="8" t="str" cm="1">
        <f t="array" aca="1" ref="D1193" ca="1">IF(INDIRECT("'Student_Record 1'!G" &amp; ROW())="", "", INDIRECT("'Student_Record 1'!G" &amp; ROW()))</f>
        <v/>
      </c>
      <c r="E1193" s="8" t="str" cm="1">
        <f t="array" aca="1" ref="E1193" ca="1">IF(INDIRECT("'Student_Record 1'!I" &amp; ROW())="", "", INDIRECT("'Student_Record 1'!I" &amp; ROW()))</f>
        <v/>
      </c>
      <c r="F1193" s="8" t="str" cm="1">
        <f t="array" aca="1" ref="F1193" ca="1">IF(INDIRECT("'Student_Record 1'!O" &amp; ROW())="", "", INDIRECT("'Student_Record 1'!O" &amp; ROW()))</f>
        <v/>
      </c>
    </row>
    <row r="1194" spans="1:6" x14ac:dyDescent="0.25">
      <c r="A1194" s="8" t="str" cm="1">
        <f t="array" aca="1" ref="A1194" ca="1">IF(INDIRECT("'Student_Record 1'!A" &amp; ROW())="", "", INDIRECT("'Student_Record 1'!A" &amp; ROW()))</f>
        <v/>
      </c>
      <c r="B1194" s="8" t="str" cm="1">
        <f t="array" aca="1" ref="B1194" ca="1">IF(INDIRECT("'Student_Record 1'!C" &amp; ROW())="", "", INDIRECT("'Student_Record 1'!C" &amp; ROW()))</f>
        <v/>
      </c>
      <c r="C1194" s="8" t="str" cm="1">
        <f t="array" aca="1" ref="C1194" ca="1">IF(INDIRECT("'Student_Record 1'!E" &amp; ROW())="", "", INDIRECT("'Student_Record 1'!E" &amp; ROW()))</f>
        <v/>
      </c>
      <c r="D1194" s="8" t="str" cm="1">
        <f t="array" aca="1" ref="D1194" ca="1">IF(INDIRECT("'Student_Record 1'!G" &amp; ROW())="", "", INDIRECT("'Student_Record 1'!G" &amp; ROW()))</f>
        <v/>
      </c>
      <c r="E1194" s="8" t="str" cm="1">
        <f t="array" aca="1" ref="E1194" ca="1">IF(INDIRECT("'Student_Record 1'!I" &amp; ROW())="", "", INDIRECT("'Student_Record 1'!I" &amp; ROW()))</f>
        <v/>
      </c>
      <c r="F1194" s="8" t="str" cm="1">
        <f t="array" aca="1" ref="F1194" ca="1">IF(INDIRECT("'Student_Record 1'!O" &amp; ROW())="", "", INDIRECT("'Student_Record 1'!O" &amp; ROW()))</f>
        <v/>
      </c>
    </row>
    <row r="1195" spans="1:6" x14ac:dyDescent="0.25">
      <c r="A1195" s="8" t="str" cm="1">
        <f t="array" aca="1" ref="A1195" ca="1">IF(INDIRECT("'Student_Record 1'!A" &amp; ROW())="", "", INDIRECT("'Student_Record 1'!A" &amp; ROW()))</f>
        <v/>
      </c>
      <c r="B1195" s="8" t="str" cm="1">
        <f t="array" aca="1" ref="B1195" ca="1">IF(INDIRECT("'Student_Record 1'!C" &amp; ROW())="", "", INDIRECT("'Student_Record 1'!C" &amp; ROW()))</f>
        <v/>
      </c>
      <c r="C1195" s="8" t="str" cm="1">
        <f t="array" aca="1" ref="C1195" ca="1">IF(INDIRECT("'Student_Record 1'!E" &amp; ROW())="", "", INDIRECT("'Student_Record 1'!E" &amp; ROW()))</f>
        <v/>
      </c>
      <c r="D1195" s="8" t="str" cm="1">
        <f t="array" aca="1" ref="D1195" ca="1">IF(INDIRECT("'Student_Record 1'!G" &amp; ROW())="", "", INDIRECT("'Student_Record 1'!G" &amp; ROW()))</f>
        <v/>
      </c>
      <c r="E1195" s="8" t="str" cm="1">
        <f t="array" aca="1" ref="E1195" ca="1">IF(INDIRECT("'Student_Record 1'!I" &amp; ROW())="", "", INDIRECT("'Student_Record 1'!I" &amp; ROW()))</f>
        <v/>
      </c>
      <c r="F1195" s="8" t="str" cm="1">
        <f t="array" aca="1" ref="F1195" ca="1">IF(INDIRECT("'Student_Record 1'!O" &amp; ROW())="", "", INDIRECT("'Student_Record 1'!O" &amp; ROW()))</f>
        <v/>
      </c>
    </row>
    <row r="1196" spans="1:6" x14ac:dyDescent="0.25">
      <c r="A1196" s="8" t="str" cm="1">
        <f t="array" aca="1" ref="A1196" ca="1">IF(INDIRECT("'Student_Record 1'!A" &amp; ROW())="", "", INDIRECT("'Student_Record 1'!A" &amp; ROW()))</f>
        <v/>
      </c>
      <c r="B1196" s="8" t="str" cm="1">
        <f t="array" aca="1" ref="B1196" ca="1">IF(INDIRECT("'Student_Record 1'!C" &amp; ROW())="", "", INDIRECT("'Student_Record 1'!C" &amp; ROW()))</f>
        <v/>
      </c>
      <c r="C1196" s="8" t="str" cm="1">
        <f t="array" aca="1" ref="C1196" ca="1">IF(INDIRECT("'Student_Record 1'!E" &amp; ROW())="", "", INDIRECT("'Student_Record 1'!E" &amp; ROW()))</f>
        <v/>
      </c>
      <c r="D1196" s="8" t="str" cm="1">
        <f t="array" aca="1" ref="D1196" ca="1">IF(INDIRECT("'Student_Record 1'!G" &amp; ROW())="", "", INDIRECT("'Student_Record 1'!G" &amp; ROW()))</f>
        <v/>
      </c>
      <c r="E1196" s="8" t="str" cm="1">
        <f t="array" aca="1" ref="E1196" ca="1">IF(INDIRECT("'Student_Record 1'!I" &amp; ROW())="", "", INDIRECT("'Student_Record 1'!I" &amp; ROW()))</f>
        <v/>
      </c>
      <c r="F1196" s="8" t="str" cm="1">
        <f t="array" aca="1" ref="F1196" ca="1">IF(INDIRECT("'Student_Record 1'!O" &amp; ROW())="", "", INDIRECT("'Student_Record 1'!O" &amp; ROW()))</f>
        <v/>
      </c>
    </row>
    <row r="1197" spans="1:6" x14ac:dyDescent="0.25">
      <c r="A1197" s="8" t="str" cm="1">
        <f t="array" aca="1" ref="A1197" ca="1">IF(INDIRECT("'Student_Record 1'!A" &amp; ROW())="", "", INDIRECT("'Student_Record 1'!A" &amp; ROW()))</f>
        <v/>
      </c>
      <c r="B1197" s="8" t="str" cm="1">
        <f t="array" aca="1" ref="B1197" ca="1">IF(INDIRECT("'Student_Record 1'!C" &amp; ROW())="", "", INDIRECT("'Student_Record 1'!C" &amp; ROW()))</f>
        <v/>
      </c>
      <c r="C1197" s="8" t="str" cm="1">
        <f t="array" aca="1" ref="C1197" ca="1">IF(INDIRECT("'Student_Record 1'!E" &amp; ROW())="", "", INDIRECT("'Student_Record 1'!E" &amp; ROW()))</f>
        <v/>
      </c>
      <c r="D1197" s="8" t="str" cm="1">
        <f t="array" aca="1" ref="D1197" ca="1">IF(INDIRECT("'Student_Record 1'!G" &amp; ROW())="", "", INDIRECT("'Student_Record 1'!G" &amp; ROW()))</f>
        <v/>
      </c>
      <c r="E1197" s="8" t="str" cm="1">
        <f t="array" aca="1" ref="E1197" ca="1">IF(INDIRECT("'Student_Record 1'!I" &amp; ROW())="", "", INDIRECT("'Student_Record 1'!I" &amp; ROW()))</f>
        <v/>
      </c>
      <c r="F1197" s="8" t="str" cm="1">
        <f t="array" aca="1" ref="F1197" ca="1">IF(INDIRECT("'Student_Record 1'!O" &amp; ROW())="", "", INDIRECT("'Student_Record 1'!O" &amp; ROW()))</f>
        <v/>
      </c>
    </row>
    <row r="1198" spans="1:6" x14ac:dyDescent="0.25">
      <c r="A1198" s="8" t="str" cm="1">
        <f t="array" aca="1" ref="A1198" ca="1">IF(INDIRECT("'Student_Record 1'!A" &amp; ROW())="", "", INDIRECT("'Student_Record 1'!A" &amp; ROW()))</f>
        <v/>
      </c>
      <c r="B1198" s="8" t="str" cm="1">
        <f t="array" aca="1" ref="B1198" ca="1">IF(INDIRECT("'Student_Record 1'!C" &amp; ROW())="", "", INDIRECT("'Student_Record 1'!C" &amp; ROW()))</f>
        <v/>
      </c>
      <c r="C1198" s="8" t="str" cm="1">
        <f t="array" aca="1" ref="C1198" ca="1">IF(INDIRECT("'Student_Record 1'!E" &amp; ROW())="", "", INDIRECT("'Student_Record 1'!E" &amp; ROW()))</f>
        <v/>
      </c>
      <c r="D1198" s="8" t="str" cm="1">
        <f t="array" aca="1" ref="D1198" ca="1">IF(INDIRECT("'Student_Record 1'!G" &amp; ROW())="", "", INDIRECT("'Student_Record 1'!G" &amp; ROW()))</f>
        <v/>
      </c>
      <c r="E1198" s="8" t="str" cm="1">
        <f t="array" aca="1" ref="E1198" ca="1">IF(INDIRECT("'Student_Record 1'!I" &amp; ROW())="", "", INDIRECT("'Student_Record 1'!I" &amp; ROW()))</f>
        <v/>
      </c>
      <c r="F1198" s="8" t="str" cm="1">
        <f t="array" aca="1" ref="F1198" ca="1">IF(INDIRECT("'Student_Record 1'!O" &amp; ROW())="", "", INDIRECT("'Student_Record 1'!O" &amp; ROW()))</f>
        <v/>
      </c>
    </row>
    <row r="1199" spans="1:6" x14ac:dyDescent="0.25">
      <c r="A1199" s="8" t="str" cm="1">
        <f t="array" aca="1" ref="A1199" ca="1">IF(INDIRECT("'Student_Record 1'!A" &amp; ROW())="", "", INDIRECT("'Student_Record 1'!A" &amp; ROW()))</f>
        <v/>
      </c>
      <c r="B1199" s="8" t="str" cm="1">
        <f t="array" aca="1" ref="B1199" ca="1">IF(INDIRECT("'Student_Record 1'!C" &amp; ROW())="", "", INDIRECT("'Student_Record 1'!C" &amp; ROW()))</f>
        <v/>
      </c>
      <c r="C1199" s="8" t="str" cm="1">
        <f t="array" aca="1" ref="C1199" ca="1">IF(INDIRECT("'Student_Record 1'!E" &amp; ROW())="", "", INDIRECT("'Student_Record 1'!E" &amp; ROW()))</f>
        <v/>
      </c>
      <c r="D1199" s="8" t="str" cm="1">
        <f t="array" aca="1" ref="D1199" ca="1">IF(INDIRECT("'Student_Record 1'!G" &amp; ROW())="", "", INDIRECT("'Student_Record 1'!G" &amp; ROW()))</f>
        <v/>
      </c>
      <c r="E1199" s="8" t="str" cm="1">
        <f t="array" aca="1" ref="E1199" ca="1">IF(INDIRECT("'Student_Record 1'!I" &amp; ROW())="", "", INDIRECT("'Student_Record 1'!I" &amp; ROW()))</f>
        <v/>
      </c>
      <c r="F1199" s="8" t="str" cm="1">
        <f t="array" aca="1" ref="F1199" ca="1">IF(INDIRECT("'Student_Record 1'!O" &amp; ROW())="", "", INDIRECT("'Student_Record 1'!O" &amp; ROW()))</f>
        <v/>
      </c>
    </row>
    <row r="1200" spans="1:6" x14ac:dyDescent="0.25">
      <c r="A1200" s="8" t="str" cm="1">
        <f t="array" aca="1" ref="A1200" ca="1">IF(INDIRECT("'Student_Record 1'!A" &amp; ROW())="", "", INDIRECT("'Student_Record 1'!A" &amp; ROW()))</f>
        <v/>
      </c>
      <c r="B1200" s="8" t="str" cm="1">
        <f t="array" aca="1" ref="B1200" ca="1">IF(INDIRECT("'Student_Record 1'!C" &amp; ROW())="", "", INDIRECT("'Student_Record 1'!C" &amp; ROW()))</f>
        <v/>
      </c>
      <c r="C1200" s="8" t="str" cm="1">
        <f t="array" aca="1" ref="C1200" ca="1">IF(INDIRECT("'Student_Record 1'!E" &amp; ROW())="", "", INDIRECT("'Student_Record 1'!E" &amp; ROW()))</f>
        <v/>
      </c>
      <c r="D1200" s="8" t="str" cm="1">
        <f t="array" aca="1" ref="D1200" ca="1">IF(INDIRECT("'Student_Record 1'!G" &amp; ROW())="", "", INDIRECT("'Student_Record 1'!G" &amp; ROW()))</f>
        <v/>
      </c>
      <c r="E1200" s="8" t="str" cm="1">
        <f t="array" aca="1" ref="E1200" ca="1">IF(INDIRECT("'Student_Record 1'!I" &amp; ROW())="", "", INDIRECT("'Student_Record 1'!I" &amp; ROW()))</f>
        <v/>
      </c>
      <c r="F1200" s="8" t="str" cm="1">
        <f t="array" aca="1" ref="F1200" ca="1">IF(INDIRECT("'Student_Record 1'!O" &amp; ROW())="", "", INDIRECT("'Student_Record 1'!O" &amp; ROW()))</f>
        <v/>
      </c>
    </row>
    <row r="1201" spans="1:6" x14ac:dyDescent="0.25">
      <c r="A1201" s="8" t="str" cm="1">
        <f t="array" aca="1" ref="A1201" ca="1">IF(INDIRECT("'Student_Record 1'!A" &amp; ROW())="", "", INDIRECT("'Student_Record 1'!A" &amp; ROW()))</f>
        <v/>
      </c>
      <c r="B1201" s="8" t="str" cm="1">
        <f t="array" aca="1" ref="B1201" ca="1">IF(INDIRECT("'Student_Record 1'!C" &amp; ROW())="", "", INDIRECT("'Student_Record 1'!C" &amp; ROW()))</f>
        <v/>
      </c>
      <c r="C1201" s="8" t="str" cm="1">
        <f t="array" aca="1" ref="C1201" ca="1">IF(INDIRECT("'Student_Record 1'!E" &amp; ROW())="", "", INDIRECT("'Student_Record 1'!E" &amp; ROW()))</f>
        <v/>
      </c>
      <c r="D1201" s="8" t="str" cm="1">
        <f t="array" aca="1" ref="D1201" ca="1">IF(INDIRECT("'Student_Record 1'!G" &amp; ROW())="", "", INDIRECT("'Student_Record 1'!G" &amp; ROW()))</f>
        <v/>
      </c>
      <c r="E1201" s="8" t="str" cm="1">
        <f t="array" aca="1" ref="E1201" ca="1">IF(INDIRECT("'Student_Record 1'!I" &amp; ROW())="", "", INDIRECT("'Student_Record 1'!I" &amp; ROW()))</f>
        <v/>
      </c>
      <c r="F1201" s="8" t="str" cm="1">
        <f t="array" aca="1" ref="F1201" ca="1">IF(INDIRECT("'Student_Record 1'!O" &amp; ROW())="", "", INDIRECT("'Student_Record 1'!O" &amp; ROW()))</f>
        <v/>
      </c>
    </row>
    <row r="1202" spans="1:6" x14ac:dyDescent="0.25">
      <c r="A1202" s="8" t="str" cm="1">
        <f t="array" aca="1" ref="A1202" ca="1">IF(INDIRECT("'Student_Record 1'!A" &amp; ROW())="", "", INDIRECT("'Student_Record 1'!A" &amp; ROW()))</f>
        <v/>
      </c>
      <c r="B1202" s="8" t="str" cm="1">
        <f t="array" aca="1" ref="B1202" ca="1">IF(INDIRECT("'Student_Record 1'!C" &amp; ROW())="", "", INDIRECT("'Student_Record 1'!C" &amp; ROW()))</f>
        <v/>
      </c>
      <c r="C1202" s="8" t="str" cm="1">
        <f t="array" aca="1" ref="C1202" ca="1">IF(INDIRECT("'Student_Record 1'!E" &amp; ROW())="", "", INDIRECT("'Student_Record 1'!E" &amp; ROW()))</f>
        <v/>
      </c>
      <c r="D1202" s="8" t="str" cm="1">
        <f t="array" aca="1" ref="D1202" ca="1">IF(INDIRECT("'Student_Record 1'!G" &amp; ROW())="", "", INDIRECT("'Student_Record 1'!G" &amp; ROW()))</f>
        <v/>
      </c>
      <c r="E1202" s="8" t="str" cm="1">
        <f t="array" aca="1" ref="E1202" ca="1">IF(INDIRECT("'Student_Record 1'!I" &amp; ROW())="", "", INDIRECT("'Student_Record 1'!I" &amp; ROW()))</f>
        <v/>
      </c>
      <c r="F1202" s="8" t="str" cm="1">
        <f t="array" aca="1" ref="F1202" ca="1">IF(INDIRECT("'Student_Record 1'!O" &amp; ROW())="", "", INDIRECT("'Student_Record 1'!O" &amp; ROW()))</f>
        <v/>
      </c>
    </row>
    <row r="1203" spans="1:6" x14ac:dyDescent="0.25">
      <c r="A1203" s="8" t="str" cm="1">
        <f t="array" aca="1" ref="A1203" ca="1">IF(INDIRECT("'Student_Record 1'!A" &amp; ROW())="", "", INDIRECT("'Student_Record 1'!A" &amp; ROW()))</f>
        <v/>
      </c>
      <c r="B1203" s="8" t="str" cm="1">
        <f t="array" aca="1" ref="B1203" ca="1">IF(INDIRECT("'Student_Record 1'!C" &amp; ROW())="", "", INDIRECT("'Student_Record 1'!C" &amp; ROW()))</f>
        <v/>
      </c>
      <c r="C1203" s="8" t="str" cm="1">
        <f t="array" aca="1" ref="C1203" ca="1">IF(INDIRECT("'Student_Record 1'!E" &amp; ROW())="", "", INDIRECT("'Student_Record 1'!E" &amp; ROW()))</f>
        <v/>
      </c>
      <c r="D1203" s="8" t="str" cm="1">
        <f t="array" aca="1" ref="D1203" ca="1">IF(INDIRECT("'Student_Record 1'!G" &amp; ROW())="", "", INDIRECT("'Student_Record 1'!G" &amp; ROW()))</f>
        <v/>
      </c>
      <c r="E1203" s="8" t="str" cm="1">
        <f t="array" aca="1" ref="E1203" ca="1">IF(INDIRECT("'Student_Record 1'!I" &amp; ROW())="", "", INDIRECT("'Student_Record 1'!I" &amp; ROW()))</f>
        <v/>
      </c>
      <c r="F1203" s="8" t="str" cm="1">
        <f t="array" aca="1" ref="F1203" ca="1">IF(INDIRECT("'Student_Record 1'!O" &amp; ROW())="", "", INDIRECT("'Student_Record 1'!O" &amp; ROW()))</f>
        <v/>
      </c>
    </row>
    <row r="1204" spans="1:6" x14ac:dyDescent="0.25">
      <c r="A1204" s="8" t="str" cm="1">
        <f t="array" aca="1" ref="A1204" ca="1">IF(INDIRECT("'Student_Record 1'!A" &amp; ROW())="", "", INDIRECT("'Student_Record 1'!A" &amp; ROW()))</f>
        <v/>
      </c>
      <c r="B1204" s="8" t="str" cm="1">
        <f t="array" aca="1" ref="B1204" ca="1">IF(INDIRECT("'Student_Record 1'!C" &amp; ROW())="", "", INDIRECT("'Student_Record 1'!C" &amp; ROW()))</f>
        <v/>
      </c>
      <c r="C1204" s="8" t="str" cm="1">
        <f t="array" aca="1" ref="C1204" ca="1">IF(INDIRECT("'Student_Record 1'!E" &amp; ROW())="", "", INDIRECT("'Student_Record 1'!E" &amp; ROW()))</f>
        <v/>
      </c>
      <c r="D1204" s="8" t="str" cm="1">
        <f t="array" aca="1" ref="D1204" ca="1">IF(INDIRECT("'Student_Record 1'!G" &amp; ROW())="", "", INDIRECT("'Student_Record 1'!G" &amp; ROW()))</f>
        <v/>
      </c>
      <c r="E1204" s="8" t="str" cm="1">
        <f t="array" aca="1" ref="E1204" ca="1">IF(INDIRECT("'Student_Record 1'!I" &amp; ROW())="", "", INDIRECT("'Student_Record 1'!I" &amp; ROW()))</f>
        <v/>
      </c>
      <c r="F1204" s="8" t="str" cm="1">
        <f t="array" aca="1" ref="F1204" ca="1">IF(INDIRECT("'Student_Record 1'!O" &amp; ROW())="", "", INDIRECT("'Student_Record 1'!O" &amp; ROW()))</f>
        <v/>
      </c>
    </row>
    <row r="1205" spans="1:6" x14ac:dyDescent="0.25">
      <c r="A1205" s="8" t="str" cm="1">
        <f t="array" aca="1" ref="A1205" ca="1">IF(INDIRECT("'Student_Record 1'!A" &amp; ROW())="", "", INDIRECT("'Student_Record 1'!A" &amp; ROW()))</f>
        <v/>
      </c>
      <c r="B1205" s="8" t="str" cm="1">
        <f t="array" aca="1" ref="B1205" ca="1">IF(INDIRECT("'Student_Record 1'!C" &amp; ROW())="", "", INDIRECT("'Student_Record 1'!C" &amp; ROW()))</f>
        <v/>
      </c>
      <c r="C1205" s="8" t="str" cm="1">
        <f t="array" aca="1" ref="C1205" ca="1">IF(INDIRECT("'Student_Record 1'!E" &amp; ROW())="", "", INDIRECT("'Student_Record 1'!E" &amp; ROW()))</f>
        <v/>
      </c>
      <c r="D1205" s="8" t="str" cm="1">
        <f t="array" aca="1" ref="D1205" ca="1">IF(INDIRECT("'Student_Record 1'!G" &amp; ROW())="", "", INDIRECT("'Student_Record 1'!G" &amp; ROW()))</f>
        <v/>
      </c>
      <c r="E1205" s="8" t="str" cm="1">
        <f t="array" aca="1" ref="E1205" ca="1">IF(INDIRECT("'Student_Record 1'!I" &amp; ROW())="", "", INDIRECT("'Student_Record 1'!I" &amp; ROW()))</f>
        <v/>
      </c>
      <c r="F1205" s="8" t="str" cm="1">
        <f t="array" aca="1" ref="F1205" ca="1">IF(INDIRECT("'Student_Record 1'!O" &amp; ROW())="", "", INDIRECT("'Student_Record 1'!O" &amp; ROW()))</f>
        <v/>
      </c>
    </row>
    <row r="1206" spans="1:6" x14ac:dyDescent="0.25">
      <c r="A1206" s="8" t="str" cm="1">
        <f t="array" aca="1" ref="A1206" ca="1">IF(INDIRECT("'Student_Record 1'!A" &amp; ROW())="", "", INDIRECT("'Student_Record 1'!A" &amp; ROW()))</f>
        <v/>
      </c>
      <c r="B1206" s="8" t="str" cm="1">
        <f t="array" aca="1" ref="B1206" ca="1">IF(INDIRECT("'Student_Record 1'!C" &amp; ROW())="", "", INDIRECT("'Student_Record 1'!C" &amp; ROW()))</f>
        <v/>
      </c>
      <c r="C1206" s="8" t="str" cm="1">
        <f t="array" aca="1" ref="C1206" ca="1">IF(INDIRECT("'Student_Record 1'!E" &amp; ROW())="", "", INDIRECT("'Student_Record 1'!E" &amp; ROW()))</f>
        <v/>
      </c>
      <c r="D1206" s="8" t="str" cm="1">
        <f t="array" aca="1" ref="D1206" ca="1">IF(INDIRECT("'Student_Record 1'!G" &amp; ROW())="", "", INDIRECT("'Student_Record 1'!G" &amp; ROW()))</f>
        <v/>
      </c>
      <c r="E1206" s="8" t="str" cm="1">
        <f t="array" aca="1" ref="E1206" ca="1">IF(INDIRECT("'Student_Record 1'!I" &amp; ROW())="", "", INDIRECT("'Student_Record 1'!I" &amp; ROW()))</f>
        <v/>
      </c>
      <c r="F1206" s="8" t="str" cm="1">
        <f t="array" aca="1" ref="F1206" ca="1">IF(INDIRECT("'Student_Record 1'!O" &amp; ROW())="", "", INDIRECT("'Student_Record 1'!O" &amp; ROW()))</f>
        <v/>
      </c>
    </row>
    <row r="1207" spans="1:6" x14ac:dyDescent="0.25">
      <c r="A1207" s="8" t="str" cm="1">
        <f t="array" aca="1" ref="A1207" ca="1">IF(INDIRECT("'Student_Record 1'!A" &amp; ROW())="", "", INDIRECT("'Student_Record 1'!A" &amp; ROW()))</f>
        <v/>
      </c>
      <c r="B1207" s="8" t="str" cm="1">
        <f t="array" aca="1" ref="B1207" ca="1">IF(INDIRECT("'Student_Record 1'!C" &amp; ROW())="", "", INDIRECT("'Student_Record 1'!C" &amp; ROW()))</f>
        <v/>
      </c>
      <c r="C1207" s="8" t="str" cm="1">
        <f t="array" aca="1" ref="C1207" ca="1">IF(INDIRECT("'Student_Record 1'!E" &amp; ROW())="", "", INDIRECT("'Student_Record 1'!E" &amp; ROW()))</f>
        <v/>
      </c>
      <c r="D1207" s="8" t="str" cm="1">
        <f t="array" aca="1" ref="D1207" ca="1">IF(INDIRECT("'Student_Record 1'!G" &amp; ROW())="", "", INDIRECT("'Student_Record 1'!G" &amp; ROW()))</f>
        <v/>
      </c>
      <c r="E1207" s="8" t="str" cm="1">
        <f t="array" aca="1" ref="E1207" ca="1">IF(INDIRECT("'Student_Record 1'!I" &amp; ROW())="", "", INDIRECT("'Student_Record 1'!I" &amp; ROW()))</f>
        <v/>
      </c>
      <c r="F1207" s="8" t="str" cm="1">
        <f t="array" aca="1" ref="F1207" ca="1">IF(INDIRECT("'Student_Record 1'!O" &amp; ROW())="", "", INDIRECT("'Student_Record 1'!O" &amp; ROW()))</f>
        <v/>
      </c>
    </row>
    <row r="1208" spans="1:6" x14ac:dyDescent="0.25">
      <c r="A1208" s="8" t="str" cm="1">
        <f t="array" aca="1" ref="A1208" ca="1">IF(INDIRECT("'Student_Record 1'!A" &amp; ROW())="", "", INDIRECT("'Student_Record 1'!A" &amp; ROW()))</f>
        <v/>
      </c>
      <c r="B1208" s="8" t="str" cm="1">
        <f t="array" aca="1" ref="B1208" ca="1">IF(INDIRECT("'Student_Record 1'!C" &amp; ROW())="", "", INDIRECT("'Student_Record 1'!C" &amp; ROW()))</f>
        <v/>
      </c>
      <c r="C1208" s="8" t="str" cm="1">
        <f t="array" aca="1" ref="C1208" ca="1">IF(INDIRECT("'Student_Record 1'!E" &amp; ROW())="", "", INDIRECT("'Student_Record 1'!E" &amp; ROW()))</f>
        <v/>
      </c>
      <c r="D1208" s="8" t="str" cm="1">
        <f t="array" aca="1" ref="D1208" ca="1">IF(INDIRECT("'Student_Record 1'!G" &amp; ROW())="", "", INDIRECT("'Student_Record 1'!G" &amp; ROW()))</f>
        <v/>
      </c>
      <c r="E1208" s="8" t="str" cm="1">
        <f t="array" aca="1" ref="E1208" ca="1">IF(INDIRECT("'Student_Record 1'!I" &amp; ROW())="", "", INDIRECT("'Student_Record 1'!I" &amp; ROW()))</f>
        <v/>
      </c>
      <c r="F1208" s="8" t="str" cm="1">
        <f t="array" aca="1" ref="F1208" ca="1">IF(INDIRECT("'Student_Record 1'!O" &amp; ROW())="", "", INDIRECT("'Student_Record 1'!O" &amp; ROW()))</f>
        <v/>
      </c>
    </row>
    <row r="1209" spans="1:6" x14ac:dyDescent="0.25">
      <c r="A1209" s="8" t="str" cm="1">
        <f t="array" aca="1" ref="A1209" ca="1">IF(INDIRECT("'Student_Record 1'!A" &amp; ROW())="", "", INDIRECT("'Student_Record 1'!A" &amp; ROW()))</f>
        <v/>
      </c>
      <c r="B1209" s="8" t="str" cm="1">
        <f t="array" aca="1" ref="B1209" ca="1">IF(INDIRECT("'Student_Record 1'!C" &amp; ROW())="", "", INDIRECT("'Student_Record 1'!C" &amp; ROW()))</f>
        <v/>
      </c>
      <c r="C1209" s="8" t="str" cm="1">
        <f t="array" aca="1" ref="C1209" ca="1">IF(INDIRECT("'Student_Record 1'!E" &amp; ROW())="", "", INDIRECT("'Student_Record 1'!E" &amp; ROW()))</f>
        <v/>
      </c>
      <c r="D1209" s="8" t="str" cm="1">
        <f t="array" aca="1" ref="D1209" ca="1">IF(INDIRECT("'Student_Record 1'!G" &amp; ROW())="", "", INDIRECT("'Student_Record 1'!G" &amp; ROW()))</f>
        <v/>
      </c>
      <c r="E1209" s="8" t="str" cm="1">
        <f t="array" aca="1" ref="E1209" ca="1">IF(INDIRECT("'Student_Record 1'!I" &amp; ROW())="", "", INDIRECT("'Student_Record 1'!I" &amp; ROW()))</f>
        <v/>
      </c>
      <c r="F1209" s="8" t="str" cm="1">
        <f t="array" aca="1" ref="F1209" ca="1">IF(INDIRECT("'Student_Record 1'!O" &amp; ROW())="", "", INDIRECT("'Student_Record 1'!O" &amp; ROW()))</f>
        <v/>
      </c>
    </row>
    <row r="1210" spans="1:6" x14ac:dyDescent="0.25">
      <c r="A1210" s="8" t="str" cm="1">
        <f t="array" aca="1" ref="A1210" ca="1">IF(INDIRECT("'Student_Record 1'!A" &amp; ROW())="", "", INDIRECT("'Student_Record 1'!A" &amp; ROW()))</f>
        <v/>
      </c>
      <c r="B1210" s="8" t="str" cm="1">
        <f t="array" aca="1" ref="B1210" ca="1">IF(INDIRECT("'Student_Record 1'!C" &amp; ROW())="", "", INDIRECT("'Student_Record 1'!C" &amp; ROW()))</f>
        <v/>
      </c>
      <c r="C1210" s="8" t="str" cm="1">
        <f t="array" aca="1" ref="C1210" ca="1">IF(INDIRECT("'Student_Record 1'!E" &amp; ROW())="", "", INDIRECT("'Student_Record 1'!E" &amp; ROW()))</f>
        <v/>
      </c>
      <c r="D1210" s="8" t="str" cm="1">
        <f t="array" aca="1" ref="D1210" ca="1">IF(INDIRECT("'Student_Record 1'!G" &amp; ROW())="", "", INDIRECT("'Student_Record 1'!G" &amp; ROW()))</f>
        <v/>
      </c>
      <c r="E1210" s="8" t="str" cm="1">
        <f t="array" aca="1" ref="E1210" ca="1">IF(INDIRECT("'Student_Record 1'!I" &amp; ROW())="", "", INDIRECT("'Student_Record 1'!I" &amp; ROW()))</f>
        <v/>
      </c>
      <c r="F1210" s="8" t="str" cm="1">
        <f t="array" aca="1" ref="F1210" ca="1">IF(INDIRECT("'Student_Record 1'!O" &amp; ROW())="", "", INDIRECT("'Student_Record 1'!O" &amp; ROW()))</f>
        <v/>
      </c>
    </row>
    <row r="1211" spans="1:6" x14ac:dyDescent="0.25">
      <c r="A1211" s="8" t="str" cm="1">
        <f t="array" aca="1" ref="A1211" ca="1">IF(INDIRECT("'Student_Record 1'!A" &amp; ROW())="", "", INDIRECT("'Student_Record 1'!A" &amp; ROW()))</f>
        <v/>
      </c>
      <c r="B1211" s="8" t="str" cm="1">
        <f t="array" aca="1" ref="B1211" ca="1">IF(INDIRECT("'Student_Record 1'!C" &amp; ROW())="", "", INDIRECT("'Student_Record 1'!C" &amp; ROW()))</f>
        <v/>
      </c>
      <c r="C1211" s="8" t="str" cm="1">
        <f t="array" aca="1" ref="C1211" ca="1">IF(INDIRECT("'Student_Record 1'!E" &amp; ROW())="", "", INDIRECT("'Student_Record 1'!E" &amp; ROW()))</f>
        <v/>
      </c>
      <c r="D1211" s="8" t="str" cm="1">
        <f t="array" aca="1" ref="D1211" ca="1">IF(INDIRECT("'Student_Record 1'!G" &amp; ROW())="", "", INDIRECT("'Student_Record 1'!G" &amp; ROW()))</f>
        <v/>
      </c>
      <c r="E1211" s="8" t="str" cm="1">
        <f t="array" aca="1" ref="E1211" ca="1">IF(INDIRECT("'Student_Record 1'!I" &amp; ROW())="", "", INDIRECT("'Student_Record 1'!I" &amp; ROW()))</f>
        <v/>
      </c>
      <c r="F1211" s="8" t="str" cm="1">
        <f t="array" aca="1" ref="F1211" ca="1">IF(INDIRECT("'Student_Record 1'!O" &amp; ROW())="", "", INDIRECT("'Student_Record 1'!O" &amp; ROW()))</f>
        <v/>
      </c>
    </row>
    <row r="1212" spans="1:6" x14ac:dyDescent="0.25">
      <c r="A1212" s="8" t="str" cm="1">
        <f t="array" aca="1" ref="A1212" ca="1">IF(INDIRECT("'Student_Record 1'!A" &amp; ROW())="", "", INDIRECT("'Student_Record 1'!A" &amp; ROW()))</f>
        <v/>
      </c>
      <c r="B1212" s="8" t="str" cm="1">
        <f t="array" aca="1" ref="B1212" ca="1">IF(INDIRECT("'Student_Record 1'!C" &amp; ROW())="", "", INDIRECT("'Student_Record 1'!C" &amp; ROW()))</f>
        <v/>
      </c>
      <c r="C1212" s="8" t="str" cm="1">
        <f t="array" aca="1" ref="C1212" ca="1">IF(INDIRECT("'Student_Record 1'!E" &amp; ROW())="", "", INDIRECT("'Student_Record 1'!E" &amp; ROW()))</f>
        <v/>
      </c>
      <c r="D1212" s="8" t="str" cm="1">
        <f t="array" aca="1" ref="D1212" ca="1">IF(INDIRECT("'Student_Record 1'!G" &amp; ROW())="", "", INDIRECT("'Student_Record 1'!G" &amp; ROW()))</f>
        <v/>
      </c>
      <c r="E1212" s="8" t="str" cm="1">
        <f t="array" aca="1" ref="E1212" ca="1">IF(INDIRECT("'Student_Record 1'!I" &amp; ROW())="", "", INDIRECT("'Student_Record 1'!I" &amp; ROW()))</f>
        <v/>
      </c>
      <c r="F1212" s="8" t="str" cm="1">
        <f t="array" aca="1" ref="F1212" ca="1">IF(INDIRECT("'Student_Record 1'!O" &amp; ROW())="", "", INDIRECT("'Student_Record 1'!O" &amp; ROW()))</f>
        <v/>
      </c>
    </row>
    <row r="1213" spans="1:6" x14ac:dyDescent="0.25">
      <c r="A1213" s="8" t="str" cm="1">
        <f t="array" aca="1" ref="A1213" ca="1">IF(INDIRECT("'Student_Record 1'!A" &amp; ROW())="", "", INDIRECT("'Student_Record 1'!A" &amp; ROW()))</f>
        <v/>
      </c>
      <c r="B1213" s="8" t="str" cm="1">
        <f t="array" aca="1" ref="B1213" ca="1">IF(INDIRECT("'Student_Record 1'!C" &amp; ROW())="", "", INDIRECT("'Student_Record 1'!C" &amp; ROW()))</f>
        <v/>
      </c>
      <c r="C1213" s="8" t="str" cm="1">
        <f t="array" aca="1" ref="C1213" ca="1">IF(INDIRECT("'Student_Record 1'!E" &amp; ROW())="", "", INDIRECT("'Student_Record 1'!E" &amp; ROW()))</f>
        <v/>
      </c>
      <c r="D1213" s="8" t="str" cm="1">
        <f t="array" aca="1" ref="D1213" ca="1">IF(INDIRECT("'Student_Record 1'!G" &amp; ROW())="", "", INDIRECT("'Student_Record 1'!G" &amp; ROW()))</f>
        <v/>
      </c>
      <c r="E1213" s="8" t="str" cm="1">
        <f t="array" aca="1" ref="E1213" ca="1">IF(INDIRECT("'Student_Record 1'!I" &amp; ROW())="", "", INDIRECT("'Student_Record 1'!I" &amp; ROW()))</f>
        <v/>
      </c>
      <c r="F1213" s="8" t="str" cm="1">
        <f t="array" aca="1" ref="F1213" ca="1">IF(INDIRECT("'Student_Record 1'!O" &amp; ROW())="", "", INDIRECT("'Student_Record 1'!O" &amp; ROW()))</f>
        <v/>
      </c>
    </row>
    <row r="1214" spans="1:6" x14ac:dyDescent="0.25">
      <c r="A1214" s="8" t="str" cm="1">
        <f t="array" aca="1" ref="A1214" ca="1">IF(INDIRECT("'Student_Record 1'!A" &amp; ROW())="", "", INDIRECT("'Student_Record 1'!A" &amp; ROW()))</f>
        <v/>
      </c>
      <c r="B1214" s="8" t="str" cm="1">
        <f t="array" aca="1" ref="B1214" ca="1">IF(INDIRECT("'Student_Record 1'!C" &amp; ROW())="", "", INDIRECT("'Student_Record 1'!C" &amp; ROW()))</f>
        <v/>
      </c>
      <c r="C1214" s="8" t="str" cm="1">
        <f t="array" aca="1" ref="C1214" ca="1">IF(INDIRECT("'Student_Record 1'!E" &amp; ROW())="", "", INDIRECT("'Student_Record 1'!E" &amp; ROW()))</f>
        <v/>
      </c>
      <c r="D1214" s="8" t="str" cm="1">
        <f t="array" aca="1" ref="D1214" ca="1">IF(INDIRECT("'Student_Record 1'!G" &amp; ROW())="", "", INDIRECT("'Student_Record 1'!G" &amp; ROW()))</f>
        <v/>
      </c>
      <c r="E1214" s="8" t="str" cm="1">
        <f t="array" aca="1" ref="E1214" ca="1">IF(INDIRECT("'Student_Record 1'!I" &amp; ROW())="", "", INDIRECT("'Student_Record 1'!I" &amp; ROW()))</f>
        <v/>
      </c>
      <c r="F1214" s="8" t="str" cm="1">
        <f t="array" aca="1" ref="F1214" ca="1">IF(INDIRECT("'Student_Record 1'!O" &amp; ROW())="", "", INDIRECT("'Student_Record 1'!O" &amp; ROW()))</f>
        <v/>
      </c>
    </row>
    <row r="1215" spans="1:6" x14ac:dyDescent="0.25">
      <c r="A1215" s="8" t="str" cm="1">
        <f t="array" aca="1" ref="A1215" ca="1">IF(INDIRECT("'Student_Record 1'!A" &amp; ROW())="", "", INDIRECT("'Student_Record 1'!A" &amp; ROW()))</f>
        <v/>
      </c>
      <c r="B1215" s="8" t="str" cm="1">
        <f t="array" aca="1" ref="B1215" ca="1">IF(INDIRECT("'Student_Record 1'!C" &amp; ROW())="", "", INDIRECT("'Student_Record 1'!C" &amp; ROW()))</f>
        <v/>
      </c>
      <c r="C1215" s="8" t="str" cm="1">
        <f t="array" aca="1" ref="C1215" ca="1">IF(INDIRECT("'Student_Record 1'!E" &amp; ROW())="", "", INDIRECT("'Student_Record 1'!E" &amp; ROW()))</f>
        <v/>
      </c>
      <c r="D1215" s="8" t="str" cm="1">
        <f t="array" aca="1" ref="D1215" ca="1">IF(INDIRECT("'Student_Record 1'!G" &amp; ROW())="", "", INDIRECT("'Student_Record 1'!G" &amp; ROW()))</f>
        <v/>
      </c>
      <c r="E1215" s="8" t="str" cm="1">
        <f t="array" aca="1" ref="E1215" ca="1">IF(INDIRECT("'Student_Record 1'!I" &amp; ROW())="", "", INDIRECT("'Student_Record 1'!I" &amp; ROW()))</f>
        <v/>
      </c>
      <c r="F1215" s="8" t="str" cm="1">
        <f t="array" aca="1" ref="F1215" ca="1">IF(INDIRECT("'Student_Record 1'!O" &amp; ROW())="", "", INDIRECT("'Student_Record 1'!O" &amp; ROW()))</f>
        <v/>
      </c>
    </row>
    <row r="1216" spans="1:6" x14ac:dyDescent="0.25">
      <c r="A1216" s="8" t="str" cm="1">
        <f t="array" aca="1" ref="A1216" ca="1">IF(INDIRECT("'Student_Record 1'!A" &amp; ROW())="", "", INDIRECT("'Student_Record 1'!A" &amp; ROW()))</f>
        <v/>
      </c>
      <c r="B1216" s="8" t="str" cm="1">
        <f t="array" aca="1" ref="B1216" ca="1">IF(INDIRECT("'Student_Record 1'!C" &amp; ROW())="", "", INDIRECT("'Student_Record 1'!C" &amp; ROW()))</f>
        <v/>
      </c>
      <c r="C1216" s="8" t="str" cm="1">
        <f t="array" aca="1" ref="C1216" ca="1">IF(INDIRECT("'Student_Record 1'!E" &amp; ROW())="", "", INDIRECT("'Student_Record 1'!E" &amp; ROW()))</f>
        <v/>
      </c>
      <c r="D1216" s="8" t="str" cm="1">
        <f t="array" aca="1" ref="D1216" ca="1">IF(INDIRECT("'Student_Record 1'!G" &amp; ROW())="", "", INDIRECT("'Student_Record 1'!G" &amp; ROW()))</f>
        <v/>
      </c>
      <c r="E1216" s="8" t="str" cm="1">
        <f t="array" aca="1" ref="E1216" ca="1">IF(INDIRECT("'Student_Record 1'!I" &amp; ROW())="", "", INDIRECT("'Student_Record 1'!I" &amp; ROW()))</f>
        <v/>
      </c>
      <c r="F1216" s="8" t="str" cm="1">
        <f t="array" aca="1" ref="F1216" ca="1">IF(INDIRECT("'Student_Record 1'!O" &amp; ROW())="", "", INDIRECT("'Student_Record 1'!O" &amp; ROW()))</f>
        <v/>
      </c>
    </row>
    <row r="1217" spans="1:6" x14ac:dyDescent="0.25">
      <c r="A1217" s="8" t="str" cm="1">
        <f t="array" aca="1" ref="A1217" ca="1">IF(INDIRECT("'Student_Record 1'!A" &amp; ROW())="", "", INDIRECT("'Student_Record 1'!A" &amp; ROW()))</f>
        <v/>
      </c>
      <c r="B1217" s="8" t="str" cm="1">
        <f t="array" aca="1" ref="B1217" ca="1">IF(INDIRECT("'Student_Record 1'!C" &amp; ROW())="", "", INDIRECT("'Student_Record 1'!C" &amp; ROW()))</f>
        <v/>
      </c>
      <c r="C1217" s="8" t="str" cm="1">
        <f t="array" aca="1" ref="C1217" ca="1">IF(INDIRECT("'Student_Record 1'!E" &amp; ROW())="", "", INDIRECT("'Student_Record 1'!E" &amp; ROW()))</f>
        <v/>
      </c>
      <c r="D1217" s="8" t="str" cm="1">
        <f t="array" aca="1" ref="D1217" ca="1">IF(INDIRECT("'Student_Record 1'!G" &amp; ROW())="", "", INDIRECT("'Student_Record 1'!G" &amp; ROW()))</f>
        <v/>
      </c>
      <c r="E1217" s="8" t="str" cm="1">
        <f t="array" aca="1" ref="E1217" ca="1">IF(INDIRECT("'Student_Record 1'!I" &amp; ROW())="", "", INDIRECT("'Student_Record 1'!I" &amp; ROW()))</f>
        <v/>
      </c>
      <c r="F1217" s="8" t="str" cm="1">
        <f t="array" aca="1" ref="F1217" ca="1">IF(INDIRECT("'Student_Record 1'!O" &amp; ROW())="", "", INDIRECT("'Student_Record 1'!O" &amp; ROW()))</f>
        <v/>
      </c>
    </row>
    <row r="1218" spans="1:6" x14ac:dyDescent="0.25">
      <c r="A1218" s="8" t="str" cm="1">
        <f t="array" aca="1" ref="A1218" ca="1">IF(INDIRECT("'Student_Record 1'!A" &amp; ROW())="", "", INDIRECT("'Student_Record 1'!A" &amp; ROW()))</f>
        <v/>
      </c>
      <c r="B1218" s="8" t="str" cm="1">
        <f t="array" aca="1" ref="B1218" ca="1">IF(INDIRECT("'Student_Record 1'!C" &amp; ROW())="", "", INDIRECT("'Student_Record 1'!C" &amp; ROW()))</f>
        <v/>
      </c>
      <c r="C1218" s="8" t="str" cm="1">
        <f t="array" aca="1" ref="C1218" ca="1">IF(INDIRECT("'Student_Record 1'!E" &amp; ROW())="", "", INDIRECT("'Student_Record 1'!E" &amp; ROW()))</f>
        <v/>
      </c>
      <c r="D1218" s="8" t="str" cm="1">
        <f t="array" aca="1" ref="D1218" ca="1">IF(INDIRECT("'Student_Record 1'!G" &amp; ROW())="", "", INDIRECT("'Student_Record 1'!G" &amp; ROW()))</f>
        <v/>
      </c>
      <c r="E1218" s="8" t="str" cm="1">
        <f t="array" aca="1" ref="E1218" ca="1">IF(INDIRECT("'Student_Record 1'!I" &amp; ROW())="", "", INDIRECT("'Student_Record 1'!I" &amp; ROW()))</f>
        <v/>
      </c>
      <c r="F1218" s="8" t="str" cm="1">
        <f t="array" aca="1" ref="F1218" ca="1">IF(INDIRECT("'Student_Record 1'!O" &amp; ROW())="", "", INDIRECT("'Student_Record 1'!O" &amp; ROW()))</f>
        <v/>
      </c>
    </row>
    <row r="1219" spans="1:6" x14ac:dyDescent="0.25">
      <c r="A1219" s="8" t="str" cm="1">
        <f t="array" aca="1" ref="A1219" ca="1">IF(INDIRECT("'Student_Record 1'!A" &amp; ROW())="", "", INDIRECT("'Student_Record 1'!A" &amp; ROW()))</f>
        <v/>
      </c>
      <c r="B1219" s="8" t="str" cm="1">
        <f t="array" aca="1" ref="B1219" ca="1">IF(INDIRECT("'Student_Record 1'!C" &amp; ROW())="", "", INDIRECT("'Student_Record 1'!C" &amp; ROW()))</f>
        <v/>
      </c>
      <c r="C1219" s="8" t="str" cm="1">
        <f t="array" aca="1" ref="C1219" ca="1">IF(INDIRECT("'Student_Record 1'!E" &amp; ROW())="", "", INDIRECT("'Student_Record 1'!E" &amp; ROW()))</f>
        <v/>
      </c>
      <c r="D1219" s="8" t="str" cm="1">
        <f t="array" aca="1" ref="D1219" ca="1">IF(INDIRECT("'Student_Record 1'!G" &amp; ROW())="", "", INDIRECT("'Student_Record 1'!G" &amp; ROW()))</f>
        <v/>
      </c>
      <c r="E1219" s="8" t="str" cm="1">
        <f t="array" aca="1" ref="E1219" ca="1">IF(INDIRECT("'Student_Record 1'!I" &amp; ROW())="", "", INDIRECT("'Student_Record 1'!I" &amp; ROW()))</f>
        <v/>
      </c>
      <c r="F1219" s="8" t="str" cm="1">
        <f t="array" aca="1" ref="F1219" ca="1">IF(INDIRECT("'Student_Record 1'!O" &amp; ROW())="", "", INDIRECT("'Student_Record 1'!O" &amp; ROW()))</f>
        <v/>
      </c>
    </row>
    <row r="1220" spans="1:6" x14ac:dyDescent="0.25">
      <c r="A1220" s="8" t="str" cm="1">
        <f t="array" aca="1" ref="A1220" ca="1">IF(INDIRECT("'Student_Record 1'!A" &amp; ROW())="", "", INDIRECT("'Student_Record 1'!A" &amp; ROW()))</f>
        <v/>
      </c>
      <c r="B1220" s="8" t="str" cm="1">
        <f t="array" aca="1" ref="B1220" ca="1">IF(INDIRECT("'Student_Record 1'!C" &amp; ROW())="", "", INDIRECT("'Student_Record 1'!C" &amp; ROW()))</f>
        <v/>
      </c>
      <c r="C1220" s="8" t="str" cm="1">
        <f t="array" aca="1" ref="C1220" ca="1">IF(INDIRECT("'Student_Record 1'!E" &amp; ROW())="", "", INDIRECT("'Student_Record 1'!E" &amp; ROW()))</f>
        <v/>
      </c>
      <c r="D1220" s="8" t="str" cm="1">
        <f t="array" aca="1" ref="D1220" ca="1">IF(INDIRECT("'Student_Record 1'!G" &amp; ROW())="", "", INDIRECT("'Student_Record 1'!G" &amp; ROW()))</f>
        <v/>
      </c>
      <c r="E1220" s="8" t="str" cm="1">
        <f t="array" aca="1" ref="E1220" ca="1">IF(INDIRECT("'Student_Record 1'!I" &amp; ROW())="", "", INDIRECT("'Student_Record 1'!I" &amp; ROW()))</f>
        <v/>
      </c>
      <c r="F1220" s="8" t="str" cm="1">
        <f t="array" aca="1" ref="F1220" ca="1">IF(INDIRECT("'Student_Record 1'!O" &amp; ROW())="", "", INDIRECT("'Student_Record 1'!O" &amp; ROW()))</f>
        <v/>
      </c>
    </row>
    <row r="1221" spans="1:6" x14ac:dyDescent="0.25">
      <c r="A1221" s="8" t="str" cm="1">
        <f t="array" aca="1" ref="A1221" ca="1">IF(INDIRECT("'Student_Record 1'!A" &amp; ROW())="", "", INDIRECT("'Student_Record 1'!A" &amp; ROW()))</f>
        <v/>
      </c>
      <c r="B1221" s="8" t="str" cm="1">
        <f t="array" aca="1" ref="B1221" ca="1">IF(INDIRECT("'Student_Record 1'!C" &amp; ROW())="", "", INDIRECT("'Student_Record 1'!C" &amp; ROW()))</f>
        <v/>
      </c>
      <c r="C1221" s="8" t="str" cm="1">
        <f t="array" aca="1" ref="C1221" ca="1">IF(INDIRECT("'Student_Record 1'!E" &amp; ROW())="", "", INDIRECT("'Student_Record 1'!E" &amp; ROW()))</f>
        <v/>
      </c>
      <c r="D1221" s="8" t="str" cm="1">
        <f t="array" aca="1" ref="D1221" ca="1">IF(INDIRECT("'Student_Record 1'!G" &amp; ROW())="", "", INDIRECT("'Student_Record 1'!G" &amp; ROW()))</f>
        <v/>
      </c>
      <c r="E1221" s="8" t="str" cm="1">
        <f t="array" aca="1" ref="E1221" ca="1">IF(INDIRECT("'Student_Record 1'!I" &amp; ROW())="", "", INDIRECT("'Student_Record 1'!I" &amp; ROW()))</f>
        <v/>
      </c>
      <c r="F1221" s="8" t="str" cm="1">
        <f t="array" aca="1" ref="F1221" ca="1">IF(INDIRECT("'Student_Record 1'!O" &amp; ROW())="", "", INDIRECT("'Student_Record 1'!O" &amp; ROW()))</f>
        <v/>
      </c>
    </row>
    <row r="1222" spans="1:6" x14ac:dyDescent="0.25">
      <c r="A1222" s="8" t="str" cm="1">
        <f t="array" aca="1" ref="A1222" ca="1">IF(INDIRECT("'Student_Record 1'!A" &amp; ROW())="", "", INDIRECT("'Student_Record 1'!A" &amp; ROW()))</f>
        <v/>
      </c>
      <c r="B1222" s="8" t="str" cm="1">
        <f t="array" aca="1" ref="B1222" ca="1">IF(INDIRECT("'Student_Record 1'!C" &amp; ROW())="", "", INDIRECT("'Student_Record 1'!C" &amp; ROW()))</f>
        <v/>
      </c>
      <c r="C1222" s="8" t="str" cm="1">
        <f t="array" aca="1" ref="C1222" ca="1">IF(INDIRECT("'Student_Record 1'!E" &amp; ROW())="", "", INDIRECT("'Student_Record 1'!E" &amp; ROW()))</f>
        <v/>
      </c>
      <c r="D1222" s="8" t="str" cm="1">
        <f t="array" aca="1" ref="D1222" ca="1">IF(INDIRECT("'Student_Record 1'!G" &amp; ROW())="", "", INDIRECT("'Student_Record 1'!G" &amp; ROW()))</f>
        <v/>
      </c>
      <c r="E1222" s="8" t="str" cm="1">
        <f t="array" aca="1" ref="E1222" ca="1">IF(INDIRECT("'Student_Record 1'!I" &amp; ROW())="", "", INDIRECT("'Student_Record 1'!I" &amp; ROW()))</f>
        <v/>
      </c>
      <c r="F1222" s="8" t="str" cm="1">
        <f t="array" aca="1" ref="F1222" ca="1">IF(INDIRECT("'Student_Record 1'!O" &amp; ROW())="", "", INDIRECT("'Student_Record 1'!O" &amp; ROW()))</f>
        <v/>
      </c>
    </row>
    <row r="1223" spans="1:6" x14ac:dyDescent="0.25">
      <c r="A1223" s="8" t="str" cm="1">
        <f t="array" aca="1" ref="A1223" ca="1">IF(INDIRECT("'Student_Record 1'!A" &amp; ROW())="", "", INDIRECT("'Student_Record 1'!A" &amp; ROW()))</f>
        <v/>
      </c>
      <c r="B1223" s="8" t="str" cm="1">
        <f t="array" aca="1" ref="B1223" ca="1">IF(INDIRECT("'Student_Record 1'!C" &amp; ROW())="", "", INDIRECT("'Student_Record 1'!C" &amp; ROW()))</f>
        <v/>
      </c>
      <c r="C1223" s="8" t="str" cm="1">
        <f t="array" aca="1" ref="C1223" ca="1">IF(INDIRECT("'Student_Record 1'!E" &amp; ROW())="", "", INDIRECT("'Student_Record 1'!E" &amp; ROW()))</f>
        <v/>
      </c>
      <c r="D1223" s="8" t="str" cm="1">
        <f t="array" aca="1" ref="D1223" ca="1">IF(INDIRECT("'Student_Record 1'!G" &amp; ROW())="", "", INDIRECT("'Student_Record 1'!G" &amp; ROW()))</f>
        <v/>
      </c>
      <c r="E1223" s="8" t="str" cm="1">
        <f t="array" aca="1" ref="E1223" ca="1">IF(INDIRECT("'Student_Record 1'!I" &amp; ROW())="", "", INDIRECT("'Student_Record 1'!I" &amp; ROW()))</f>
        <v/>
      </c>
      <c r="F1223" s="8" t="str" cm="1">
        <f t="array" aca="1" ref="F1223" ca="1">IF(INDIRECT("'Student_Record 1'!O" &amp; ROW())="", "", INDIRECT("'Student_Record 1'!O" &amp; ROW()))</f>
        <v/>
      </c>
    </row>
    <row r="1224" spans="1:6" x14ac:dyDescent="0.25">
      <c r="A1224" s="8" t="str" cm="1">
        <f t="array" aca="1" ref="A1224" ca="1">IF(INDIRECT("'Student_Record 1'!A" &amp; ROW())="", "", INDIRECT("'Student_Record 1'!A" &amp; ROW()))</f>
        <v/>
      </c>
      <c r="B1224" s="8" t="str" cm="1">
        <f t="array" aca="1" ref="B1224" ca="1">IF(INDIRECT("'Student_Record 1'!C" &amp; ROW())="", "", INDIRECT("'Student_Record 1'!C" &amp; ROW()))</f>
        <v/>
      </c>
      <c r="C1224" s="8" t="str" cm="1">
        <f t="array" aca="1" ref="C1224" ca="1">IF(INDIRECT("'Student_Record 1'!E" &amp; ROW())="", "", INDIRECT("'Student_Record 1'!E" &amp; ROW()))</f>
        <v/>
      </c>
      <c r="D1224" s="8" t="str" cm="1">
        <f t="array" aca="1" ref="D1224" ca="1">IF(INDIRECT("'Student_Record 1'!G" &amp; ROW())="", "", INDIRECT("'Student_Record 1'!G" &amp; ROW()))</f>
        <v/>
      </c>
      <c r="E1224" s="8" t="str" cm="1">
        <f t="array" aca="1" ref="E1224" ca="1">IF(INDIRECT("'Student_Record 1'!I" &amp; ROW())="", "", INDIRECT("'Student_Record 1'!I" &amp; ROW()))</f>
        <v/>
      </c>
      <c r="F1224" s="8" t="str" cm="1">
        <f t="array" aca="1" ref="F1224" ca="1">IF(INDIRECT("'Student_Record 1'!O" &amp; ROW())="", "", INDIRECT("'Student_Record 1'!O" &amp; ROW()))</f>
        <v/>
      </c>
    </row>
    <row r="1225" spans="1:6" x14ac:dyDescent="0.25">
      <c r="A1225" s="8" t="str" cm="1">
        <f t="array" aca="1" ref="A1225" ca="1">IF(INDIRECT("'Student_Record 1'!A" &amp; ROW())="", "", INDIRECT("'Student_Record 1'!A" &amp; ROW()))</f>
        <v/>
      </c>
      <c r="B1225" s="8" t="str" cm="1">
        <f t="array" aca="1" ref="B1225" ca="1">IF(INDIRECT("'Student_Record 1'!C" &amp; ROW())="", "", INDIRECT("'Student_Record 1'!C" &amp; ROW()))</f>
        <v/>
      </c>
      <c r="C1225" s="8" t="str" cm="1">
        <f t="array" aca="1" ref="C1225" ca="1">IF(INDIRECT("'Student_Record 1'!E" &amp; ROW())="", "", INDIRECT("'Student_Record 1'!E" &amp; ROW()))</f>
        <v/>
      </c>
      <c r="D1225" s="8" t="str" cm="1">
        <f t="array" aca="1" ref="D1225" ca="1">IF(INDIRECT("'Student_Record 1'!G" &amp; ROW())="", "", INDIRECT("'Student_Record 1'!G" &amp; ROW()))</f>
        <v/>
      </c>
      <c r="E1225" s="8" t="str" cm="1">
        <f t="array" aca="1" ref="E1225" ca="1">IF(INDIRECT("'Student_Record 1'!I" &amp; ROW())="", "", INDIRECT("'Student_Record 1'!I" &amp; ROW()))</f>
        <v/>
      </c>
      <c r="F1225" s="8" t="str" cm="1">
        <f t="array" aca="1" ref="F1225" ca="1">IF(INDIRECT("'Student_Record 1'!O" &amp; ROW())="", "", INDIRECT("'Student_Record 1'!O" &amp; ROW()))</f>
        <v/>
      </c>
    </row>
    <row r="1226" spans="1:6" x14ac:dyDescent="0.25">
      <c r="A1226" s="8" t="str" cm="1">
        <f t="array" aca="1" ref="A1226" ca="1">IF(INDIRECT("'Student_Record 1'!A" &amp; ROW())="", "", INDIRECT("'Student_Record 1'!A" &amp; ROW()))</f>
        <v/>
      </c>
      <c r="B1226" s="8" t="str" cm="1">
        <f t="array" aca="1" ref="B1226" ca="1">IF(INDIRECT("'Student_Record 1'!C" &amp; ROW())="", "", INDIRECT("'Student_Record 1'!C" &amp; ROW()))</f>
        <v/>
      </c>
      <c r="C1226" s="8" t="str" cm="1">
        <f t="array" aca="1" ref="C1226" ca="1">IF(INDIRECT("'Student_Record 1'!E" &amp; ROW())="", "", INDIRECT("'Student_Record 1'!E" &amp; ROW()))</f>
        <v/>
      </c>
      <c r="D1226" s="8" t="str" cm="1">
        <f t="array" aca="1" ref="D1226" ca="1">IF(INDIRECT("'Student_Record 1'!G" &amp; ROW())="", "", INDIRECT("'Student_Record 1'!G" &amp; ROW()))</f>
        <v/>
      </c>
      <c r="E1226" s="8" t="str" cm="1">
        <f t="array" aca="1" ref="E1226" ca="1">IF(INDIRECT("'Student_Record 1'!I" &amp; ROW())="", "", INDIRECT("'Student_Record 1'!I" &amp; ROW()))</f>
        <v/>
      </c>
      <c r="F1226" s="8" t="str" cm="1">
        <f t="array" aca="1" ref="F1226" ca="1">IF(INDIRECT("'Student_Record 1'!O" &amp; ROW())="", "", INDIRECT("'Student_Record 1'!O" &amp; ROW()))</f>
        <v/>
      </c>
    </row>
    <row r="1227" spans="1:6" x14ac:dyDescent="0.25">
      <c r="A1227" s="8" t="str" cm="1">
        <f t="array" aca="1" ref="A1227" ca="1">IF(INDIRECT("'Student_Record 1'!A" &amp; ROW())="", "", INDIRECT("'Student_Record 1'!A" &amp; ROW()))</f>
        <v/>
      </c>
      <c r="B1227" s="8" t="str" cm="1">
        <f t="array" aca="1" ref="B1227" ca="1">IF(INDIRECT("'Student_Record 1'!C" &amp; ROW())="", "", INDIRECT("'Student_Record 1'!C" &amp; ROW()))</f>
        <v/>
      </c>
      <c r="C1227" s="8" t="str" cm="1">
        <f t="array" aca="1" ref="C1227" ca="1">IF(INDIRECT("'Student_Record 1'!E" &amp; ROW())="", "", INDIRECT("'Student_Record 1'!E" &amp; ROW()))</f>
        <v/>
      </c>
      <c r="D1227" s="8" t="str" cm="1">
        <f t="array" aca="1" ref="D1227" ca="1">IF(INDIRECT("'Student_Record 1'!G" &amp; ROW())="", "", INDIRECT("'Student_Record 1'!G" &amp; ROW()))</f>
        <v/>
      </c>
      <c r="E1227" s="8" t="str" cm="1">
        <f t="array" aca="1" ref="E1227" ca="1">IF(INDIRECT("'Student_Record 1'!I" &amp; ROW())="", "", INDIRECT("'Student_Record 1'!I" &amp; ROW()))</f>
        <v/>
      </c>
      <c r="F1227" s="8" t="str" cm="1">
        <f t="array" aca="1" ref="F1227" ca="1">IF(INDIRECT("'Student_Record 1'!O" &amp; ROW())="", "", INDIRECT("'Student_Record 1'!O" &amp; ROW()))</f>
        <v/>
      </c>
    </row>
    <row r="1228" spans="1:6" x14ac:dyDescent="0.25">
      <c r="A1228" s="8" t="str" cm="1">
        <f t="array" aca="1" ref="A1228" ca="1">IF(INDIRECT("'Student_Record 1'!A" &amp; ROW())="", "", INDIRECT("'Student_Record 1'!A" &amp; ROW()))</f>
        <v/>
      </c>
      <c r="B1228" s="8" t="str" cm="1">
        <f t="array" aca="1" ref="B1228" ca="1">IF(INDIRECT("'Student_Record 1'!C" &amp; ROW())="", "", INDIRECT("'Student_Record 1'!C" &amp; ROW()))</f>
        <v/>
      </c>
      <c r="C1228" s="8" t="str" cm="1">
        <f t="array" aca="1" ref="C1228" ca="1">IF(INDIRECT("'Student_Record 1'!E" &amp; ROW())="", "", INDIRECT("'Student_Record 1'!E" &amp; ROW()))</f>
        <v/>
      </c>
      <c r="D1228" s="8" t="str" cm="1">
        <f t="array" aca="1" ref="D1228" ca="1">IF(INDIRECT("'Student_Record 1'!G" &amp; ROW())="", "", INDIRECT("'Student_Record 1'!G" &amp; ROW()))</f>
        <v/>
      </c>
      <c r="E1228" s="8" t="str" cm="1">
        <f t="array" aca="1" ref="E1228" ca="1">IF(INDIRECT("'Student_Record 1'!I" &amp; ROW())="", "", INDIRECT("'Student_Record 1'!I" &amp; ROW()))</f>
        <v/>
      </c>
      <c r="F1228" s="8" t="str" cm="1">
        <f t="array" aca="1" ref="F1228" ca="1">IF(INDIRECT("'Student_Record 1'!O" &amp; ROW())="", "", INDIRECT("'Student_Record 1'!O" &amp; ROW()))</f>
        <v/>
      </c>
    </row>
    <row r="1229" spans="1:6" x14ac:dyDescent="0.25">
      <c r="A1229" s="8" t="str" cm="1">
        <f t="array" aca="1" ref="A1229" ca="1">IF(INDIRECT("'Student_Record 1'!A" &amp; ROW())="", "", INDIRECT("'Student_Record 1'!A" &amp; ROW()))</f>
        <v/>
      </c>
      <c r="B1229" s="8" t="str" cm="1">
        <f t="array" aca="1" ref="B1229" ca="1">IF(INDIRECT("'Student_Record 1'!C" &amp; ROW())="", "", INDIRECT("'Student_Record 1'!C" &amp; ROW()))</f>
        <v/>
      </c>
      <c r="C1229" s="8" t="str" cm="1">
        <f t="array" aca="1" ref="C1229" ca="1">IF(INDIRECT("'Student_Record 1'!E" &amp; ROW())="", "", INDIRECT("'Student_Record 1'!E" &amp; ROW()))</f>
        <v/>
      </c>
      <c r="D1229" s="8" t="str" cm="1">
        <f t="array" aca="1" ref="D1229" ca="1">IF(INDIRECT("'Student_Record 1'!G" &amp; ROW())="", "", INDIRECT("'Student_Record 1'!G" &amp; ROW()))</f>
        <v/>
      </c>
      <c r="E1229" s="8" t="str" cm="1">
        <f t="array" aca="1" ref="E1229" ca="1">IF(INDIRECT("'Student_Record 1'!I" &amp; ROW())="", "", INDIRECT("'Student_Record 1'!I" &amp; ROW()))</f>
        <v/>
      </c>
      <c r="F1229" s="8" t="str" cm="1">
        <f t="array" aca="1" ref="F1229" ca="1">IF(INDIRECT("'Student_Record 1'!O" &amp; ROW())="", "", INDIRECT("'Student_Record 1'!O" &amp; ROW()))</f>
        <v/>
      </c>
    </row>
    <row r="1230" spans="1:6" x14ac:dyDescent="0.25">
      <c r="A1230" s="8" t="str" cm="1">
        <f t="array" aca="1" ref="A1230" ca="1">IF(INDIRECT("'Student_Record 1'!A" &amp; ROW())="", "", INDIRECT("'Student_Record 1'!A" &amp; ROW()))</f>
        <v/>
      </c>
      <c r="B1230" s="8" t="str" cm="1">
        <f t="array" aca="1" ref="B1230" ca="1">IF(INDIRECT("'Student_Record 1'!C" &amp; ROW())="", "", INDIRECT("'Student_Record 1'!C" &amp; ROW()))</f>
        <v/>
      </c>
      <c r="C1230" s="8" t="str" cm="1">
        <f t="array" aca="1" ref="C1230" ca="1">IF(INDIRECT("'Student_Record 1'!E" &amp; ROW())="", "", INDIRECT("'Student_Record 1'!E" &amp; ROW()))</f>
        <v/>
      </c>
      <c r="D1230" s="8" t="str" cm="1">
        <f t="array" aca="1" ref="D1230" ca="1">IF(INDIRECT("'Student_Record 1'!G" &amp; ROW())="", "", INDIRECT("'Student_Record 1'!G" &amp; ROW()))</f>
        <v/>
      </c>
      <c r="E1230" s="8" t="str" cm="1">
        <f t="array" aca="1" ref="E1230" ca="1">IF(INDIRECT("'Student_Record 1'!I" &amp; ROW())="", "", INDIRECT("'Student_Record 1'!I" &amp; ROW()))</f>
        <v/>
      </c>
      <c r="F1230" s="8" t="str" cm="1">
        <f t="array" aca="1" ref="F1230" ca="1">IF(INDIRECT("'Student_Record 1'!O" &amp; ROW())="", "", INDIRECT("'Student_Record 1'!O" &amp; ROW()))</f>
        <v/>
      </c>
    </row>
    <row r="1231" spans="1:6" x14ac:dyDescent="0.25">
      <c r="A1231" s="8" t="str" cm="1">
        <f t="array" aca="1" ref="A1231" ca="1">IF(INDIRECT("'Student_Record 1'!A" &amp; ROW())="", "", INDIRECT("'Student_Record 1'!A" &amp; ROW()))</f>
        <v/>
      </c>
      <c r="B1231" s="8" t="str" cm="1">
        <f t="array" aca="1" ref="B1231" ca="1">IF(INDIRECT("'Student_Record 1'!C" &amp; ROW())="", "", INDIRECT("'Student_Record 1'!C" &amp; ROW()))</f>
        <v/>
      </c>
      <c r="C1231" s="8" t="str" cm="1">
        <f t="array" aca="1" ref="C1231" ca="1">IF(INDIRECT("'Student_Record 1'!E" &amp; ROW())="", "", INDIRECT("'Student_Record 1'!E" &amp; ROW()))</f>
        <v/>
      </c>
      <c r="D1231" s="8" t="str" cm="1">
        <f t="array" aca="1" ref="D1231" ca="1">IF(INDIRECT("'Student_Record 1'!G" &amp; ROW())="", "", INDIRECT("'Student_Record 1'!G" &amp; ROW()))</f>
        <v/>
      </c>
      <c r="E1231" s="8" t="str" cm="1">
        <f t="array" aca="1" ref="E1231" ca="1">IF(INDIRECT("'Student_Record 1'!I" &amp; ROW())="", "", INDIRECT("'Student_Record 1'!I" &amp; ROW()))</f>
        <v/>
      </c>
      <c r="F1231" s="8" t="str" cm="1">
        <f t="array" aca="1" ref="F1231" ca="1">IF(INDIRECT("'Student_Record 1'!O" &amp; ROW())="", "", INDIRECT("'Student_Record 1'!O" &amp; ROW()))</f>
        <v/>
      </c>
    </row>
    <row r="1232" spans="1:6" x14ac:dyDescent="0.25">
      <c r="A1232" s="8" t="str" cm="1">
        <f t="array" aca="1" ref="A1232" ca="1">IF(INDIRECT("'Student_Record 1'!A" &amp; ROW())="", "", INDIRECT("'Student_Record 1'!A" &amp; ROW()))</f>
        <v/>
      </c>
      <c r="B1232" s="8" t="str" cm="1">
        <f t="array" aca="1" ref="B1232" ca="1">IF(INDIRECT("'Student_Record 1'!C" &amp; ROW())="", "", INDIRECT("'Student_Record 1'!C" &amp; ROW()))</f>
        <v/>
      </c>
      <c r="C1232" s="8" t="str" cm="1">
        <f t="array" aca="1" ref="C1232" ca="1">IF(INDIRECT("'Student_Record 1'!E" &amp; ROW())="", "", INDIRECT("'Student_Record 1'!E" &amp; ROW()))</f>
        <v/>
      </c>
      <c r="D1232" s="8" t="str" cm="1">
        <f t="array" aca="1" ref="D1232" ca="1">IF(INDIRECT("'Student_Record 1'!G" &amp; ROW())="", "", INDIRECT("'Student_Record 1'!G" &amp; ROW()))</f>
        <v/>
      </c>
      <c r="E1232" s="8" t="str" cm="1">
        <f t="array" aca="1" ref="E1232" ca="1">IF(INDIRECT("'Student_Record 1'!I" &amp; ROW())="", "", INDIRECT("'Student_Record 1'!I" &amp; ROW()))</f>
        <v/>
      </c>
      <c r="F1232" s="8" t="str" cm="1">
        <f t="array" aca="1" ref="F1232" ca="1">IF(INDIRECT("'Student_Record 1'!O" &amp; ROW())="", "", INDIRECT("'Student_Record 1'!O" &amp; ROW()))</f>
        <v/>
      </c>
    </row>
    <row r="1233" spans="1:6" x14ac:dyDescent="0.25">
      <c r="A1233" s="8" t="str" cm="1">
        <f t="array" aca="1" ref="A1233" ca="1">IF(INDIRECT("'Student_Record 1'!A" &amp; ROW())="", "", INDIRECT("'Student_Record 1'!A" &amp; ROW()))</f>
        <v/>
      </c>
      <c r="B1233" s="8" t="str" cm="1">
        <f t="array" aca="1" ref="B1233" ca="1">IF(INDIRECT("'Student_Record 1'!C" &amp; ROW())="", "", INDIRECT("'Student_Record 1'!C" &amp; ROW()))</f>
        <v/>
      </c>
      <c r="C1233" s="8" t="str" cm="1">
        <f t="array" aca="1" ref="C1233" ca="1">IF(INDIRECT("'Student_Record 1'!E" &amp; ROW())="", "", INDIRECT("'Student_Record 1'!E" &amp; ROW()))</f>
        <v/>
      </c>
      <c r="D1233" s="8" t="str" cm="1">
        <f t="array" aca="1" ref="D1233" ca="1">IF(INDIRECT("'Student_Record 1'!G" &amp; ROW())="", "", INDIRECT("'Student_Record 1'!G" &amp; ROW()))</f>
        <v/>
      </c>
      <c r="E1233" s="8" t="str" cm="1">
        <f t="array" aca="1" ref="E1233" ca="1">IF(INDIRECT("'Student_Record 1'!I" &amp; ROW())="", "", INDIRECT("'Student_Record 1'!I" &amp; ROW()))</f>
        <v/>
      </c>
      <c r="F1233" s="8" t="str" cm="1">
        <f t="array" aca="1" ref="F1233" ca="1">IF(INDIRECT("'Student_Record 1'!O" &amp; ROW())="", "", INDIRECT("'Student_Record 1'!O" &amp; ROW()))</f>
        <v/>
      </c>
    </row>
    <row r="1234" spans="1:6" x14ac:dyDescent="0.25">
      <c r="A1234" s="8" t="str" cm="1">
        <f t="array" aca="1" ref="A1234" ca="1">IF(INDIRECT("'Student_Record 1'!A" &amp; ROW())="", "", INDIRECT("'Student_Record 1'!A" &amp; ROW()))</f>
        <v/>
      </c>
      <c r="B1234" s="8" t="str" cm="1">
        <f t="array" aca="1" ref="B1234" ca="1">IF(INDIRECT("'Student_Record 1'!C" &amp; ROW())="", "", INDIRECT("'Student_Record 1'!C" &amp; ROW()))</f>
        <v/>
      </c>
      <c r="C1234" s="8" t="str" cm="1">
        <f t="array" aca="1" ref="C1234" ca="1">IF(INDIRECT("'Student_Record 1'!E" &amp; ROW())="", "", INDIRECT("'Student_Record 1'!E" &amp; ROW()))</f>
        <v/>
      </c>
      <c r="D1234" s="8" t="str" cm="1">
        <f t="array" aca="1" ref="D1234" ca="1">IF(INDIRECT("'Student_Record 1'!G" &amp; ROW())="", "", INDIRECT("'Student_Record 1'!G" &amp; ROW()))</f>
        <v/>
      </c>
      <c r="E1234" s="8" t="str" cm="1">
        <f t="array" aca="1" ref="E1234" ca="1">IF(INDIRECT("'Student_Record 1'!I" &amp; ROW())="", "", INDIRECT("'Student_Record 1'!I" &amp; ROW()))</f>
        <v/>
      </c>
      <c r="F1234" s="8" t="str" cm="1">
        <f t="array" aca="1" ref="F1234" ca="1">IF(INDIRECT("'Student_Record 1'!O" &amp; ROW())="", "", INDIRECT("'Student_Record 1'!O" &amp; ROW()))</f>
        <v/>
      </c>
    </row>
    <row r="1235" spans="1:6" x14ac:dyDescent="0.25">
      <c r="A1235" s="8" t="str" cm="1">
        <f t="array" aca="1" ref="A1235" ca="1">IF(INDIRECT("'Student_Record 1'!A" &amp; ROW())="", "", INDIRECT("'Student_Record 1'!A" &amp; ROW()))</f>
        <v/>
      </c>
      <c r="B1235" s="8" t="str" cm="1">
        <f t="array" aca="1" ref="B1235" ca="1">IF(INDIRECT("'Student_Record 1'!C" &amp; ROW())="", "", INDIRECT("'Student_Record 1'!C" &amp; ROW()))</f>
        <v/>
      </c>
      <c r="C1235" s="8" t="str" cm="1">
        <f t="array" aca="1" ref="C1235" ca="1">IF(INDIRECT("'Student_Record 1'!E" &amp; ROW())="", "", INDIRECT("'Student_Record 1'!E" &amp; ROW()))</f>
        <v/>
      </c>
      <c r="D1235" s="8" t="str" cm="1">
        <f t="array" aca="1" ref="D1235" ca="1">IF(INDIRECT("'Student_Record 1'!G" &amp; ROW())="", "", INDIRECT("'Student_Record 1'!G" &amp; ROW()))</f>
        <v/>
      </c>
      <c r="E1235" s="8" t="str" cm="1">
        <f t="array" aca="1" ref="E1235" ca="1">IF(INDIRECT("'Student_Record 1'!I" &amp; ROW())="", "", INDIRECT("'Student_Record 1'!I" &amp; ROW()))</f>
        <v/>
      </c>
      <c r="F1235" s="8" t="str" cm="1">
        <f t="array" aca="1" ref="F1235" ca="1">IF(INDIRECT("'Student_Record 1'!O" &amp; ROW())="", "", INDIRECT("'Student_Record 1'!O" &amp; ROW()))</f>
        <v/>
      </c>
    </row>
    <row r="1236" spans="1:6" x14ac:dyDescent="0.25">
      <c r="A1236" s="8" t="str" cm="1">
        <f t="array" aca="1" ref="A1236" ca="1">IF(INDIRECT("'Student_Record 1'!A" &amp; ROW())="", "", INDIRECT("'Student_Record 1'!A" &amp; ROW()))</f>
        <v/>
      </c>
      <c r="B1236" s="8" t="str" cm="1">
        <f t="array" aca="1" ref="B1236" ca="1">IF(INDIRECT("'Student_Record 1'!C" &amp; ROW())="", "", INDIRECT("'Student_Record 1'!C" &amp; ROW()))</f>
        <v/>
      </c>
      <c r="C1236" s="8" t="str" cm="1">
        <f t="array" aca="1" ref="C1236" ca="1">IF(INDIRECT("'Student_Record 1'!E" &amp; ROW())="", "", INDIRECT("'Student_Record 1'!E" &amp; ROW()))</f>
        <v/>
      </c>
      <c r="D1236" s="8" t="str" cm="1">
        <f t="array" aca="1" ref="D1236" ca="1">IF(INDIRECT("'Student_Record 1'!G" &amp; ROW())="", "", INDIRECT("'Student_Record 1'!G" &amp; ROW()))</f>
        <v/>
      </c>
      <c r="E1236" s="8" t="str" cm="1">
        <f t="array" aca="1" ref="E1236" ca="1">IF(INDIRECT("'Student_Record 1'!I" &amp; ROW())="", "", INDIRECT("'Student_Record 1'!I" &amp; ROW()))</f>
        <v/>
      </c>
      <c r="F1236" s="8" t="str" cm="1">
        <f t="array" aca="1" ref="F1236" ca="1">IF(INDIRECT("'Student_Record 1'!O" &amp; ROW())="", "", INDIRECT("'Student_Record 1'!O" &amp; ROW()))</f>
        <v/>
      </c>
    </row>
    <row r="1237" spans="1:6" x14ac:dyDescent="0.25">
      <c r="A1237" s="8" t="str" cm="1">
        <f t="array" aca="1" ref="A1237" ca="1">IF(INDIRECT("'Student_Record 1'!A" &amp; ROW())="", "", INDIRECT("'Student_Record 1'!A" &amp; ROW()))</f>
        <v/>
      </c>
      <c r="B1237" s="8" t="str" cm="1">
        <f t="array" aca="1" ref="B1237" ca="1">IF(INDIRECT("'Student_Record 1'!C" &amp; ROW())="", "", INDIRECT("'Student_Record 1'!C" &amp; ROW()))</f>
        <v/>
      </c>
      <c r="C1237" s="8" t="str" cm="1">
        <f t="array" aca="1" ref="C1237" ca="1">IF(INDIRECT("'Student_Record 1'!E" &amp; ROW())="", "", INDIRECT("'Student_Record 1'!E" &amp; ROW()))</f>
        <v/>
      </c>
      <c r="D1237" s="8" t="str" cm="1">
        <f t="array" aca="1" ref="D1237" ca="1">IF(INDIRECT("'Student_Record 1'!G" &amp; ROW())="", "", INDIRECT("'Student_Record 1'!G" &amp; ROW()))</f>
        <v/>
      </c>
      <c r="E1237" s="8" t="str" cm="1">
        <f t="array" aca="1" ref="E1237" ca="1">IF(INDIRECT("'Student_Record 1'!I" &amp; ROW())="", "", INDIRECT("'Student_Record 1'!I" &amp; ROW()))</f>
        <v/>
      </c>
      <c r="F1237" s="8" t="str" cm="1">
        <f t="array" aca="1" ref="F1237" ca="1">IF(INDIRECT("'Student_Record 1'!O" &amp; ROW())="", "", INDIRECT("'Student_Record 1'!O" &amp; ROW()))</f>
        <v/>
      </c>
    </row>
    <row r="1238" spans="1:6" x14ac:dyDescent="0.25">
      <c r="A1238" s="8" t="str" cm="1">
        <f t="array" aca="1" ref="A1238" ca="1">IF(INDIRECT("'Student_Record 1'!A" &amp; ROW())="", "", INDIRECT("'Student_Record 1'!A" &amp; ROW()))</f>
        <v/>
      </c>
      <c r="B1238" s="8" t="str" cm="1">
        <f t="array" aca="1" ref="B1238" ca="1">IF(INDIRECT("'Student_Record 1'!C" &amp; ROW())="", "", INDIRECT("'Student_Record 1'!C" &amp; ROW()))</f>
        <v/>
      </c>
      <c r="C1238" s="8" t="str" cm="1">
        <f t="array" aca="1" ref="C1238" ca="1">IF(INDIRECT("'Student_Record 1'!E" &amp; ROW())="", "", INDIRECT("'Student_Record 1'!E" &amp; ROW()))</f>
        <v/>
      </c>
      <c r="D1238" s="8" t="str" cm="1">
        <f t="array" aca="1" ref="D1238" ca="1">IF(INDIRECT("'Student_Record 1'!G" &amp; ROW())="", "", INDIRECT("'Student_Record 1'!G" &amp; ROW()))</f>
        <v/>
      </c>
      <c r="E1238" s="8" t="str" cm="1">
        <f t="array" aca="1" ref="E1238" ca="1">IF(INDIRECT("'Student_Record 1'!I" &amp; ROW())="", "", INDIRECT("'Student_Record 1'!I" &amp; ROW()))</f>
        <v/>
      </c>
      <c r="F1238" s="8" t="str" cm="1">
        <f t="array" aca="1" ref="F1238" ca="1">IF(INDIRECT("'Student_Record 1'!O" &amp; ROW())="", "", INDIRECT("'Student_Record 1'!O" &amp; ROW()))</f>
        <v/>
      </c>
    </row>
    <row r="1239" spans="1:6" x14ac:dyDescent="0.25">
      <c r="A1239" s="8" t="str" cm="1">
        <f t="array" aca="1" ref="A1239" ca="1">IF(INDIRECT("'Student_Record 1'!A" &amp; ROW())="", "", INDIRECT("'Student_Record 1'!A" &amp; ROW()))</f>
        <v/>
      </c>
      <c r="B1239" s="8" t="str" cm="1">
        <f t="array" aca="1" ref="B1239" ca="1">IF(INDIRECT("'Student_Record 1'!C" &amp; ROW())="", "", INDIRECT("'Student_Record 1'!C" &amp; ROW()))</f>
        <v/>
      </c>
      <c r="C1239" s="8" t="str" cm="1">
        <f t="array" aca="1" ref="C1239" ca="1">IF(INDIRECT("'Student_Record 1'!E" &amp; ROW())="", "", INDIRECT("'Student_Record 1'!E" &amp; ROW()))</f>
        <v/>
      </c>
      <c r="D1239" s="8" t="str" cm="1">
        <f t="array" aca="1" ref="D1239" ca="1">IF(INDIRECT("'Student_Record 1'!G" &amp; ROW())="", "", INDIRECT("'Student_Record 1'!G" &amp; ROW()))</f>
        <v/>
      </c>
      <c r="E1239" s="8" t="str" cm="1">
        <f t="array" aca="1" ref="E1239" ca="1">IF(INDIRECT("'Student_Record 1'!I" &amp; ROW())="", "", INDIRECT("'Student_Record 1'!I" &amp; ROW()))</f>
        <v/>
      </c>
      <c r="F1239" s="8" t="str" cm="1">
        <f t="array" aca="1" ref="F1239" ca="1">IF(INDIRECT("'Student_Record 1'!O" &amp; ROW())="", "", INDIRECT("'Student_Record 1'!O" &amp; ROW()))</f>
        <v/>
      </c>
    </row>
    <row r="1240" spans="1:6" x14ac:dyDescent="0.25">
      <c r="A1240" s="8" t="str" cm="1">
        <f t="array" aca="1" ref="A1240" ca="1">IF(INDIRECT("'Student_Record 1'!A" &amp; ROW())="", "", INDIRECT("'Student_Record 1'!A" &amp; ROW()))</f>
        <v/>
      </c>
      <c r="B1240" s="8" t="str" cm="1">
        <f t="array" aca="1" ref="B1240" ca="1">IF(INDIRECT("'Student_Record 1'!C" &amp; ROW())="", "", INDIRECT("'Student_Record 1'!C" &amp; ROW()))</f>
        <v/>
      </c>
      <c r="C1240" s="8" t="str" cm="1">
        <f t="array" aca="1" ref="C1240" ca="1">IF(INDIRECT("'Student_Record 1'!E" &amp; ROW())="", "", INDIRECT("'Student_Record 1'!E" &amp; ROW()))</f>
        <v/>
      </c>
      <c r="D1240" s="8" t="str" cm="1">
        <f t="array" aca="1" ref="D1240" ca="1">IF(INDIRECT("'Student_Record 1'!G" &amp; ROW())="", "", INDIRECT("'Student_Record 1'!G" &amp; ROW()))</f>
        <v/>
      </c>
      <c r="E1240" s="8" t="str" cm="1">
        <f t="array" aca="1" ref="E1240" ca="1">IF(INDIRECT("'Student_Record 1'!I" &amp; ROW())="", "", INDIRECT("'Student_Record 1'!I" &amp; ROW()))</f>
        <v/>
      </c>
      <c r="F1240" s="8" t="str" cm="1">
        <f t="array" aca="1" ref="F1240" ca="1">IF(INDIRECT("'Student_Record 1'!O" &amp; ROW())="", "", INDIRECT("'Student_Record 1'!O" &amp; ROW()))</f>
        <v/>
      </c>
    </row>
    <row r="1241" spans="1:6" x14ac:dyDescent="0.25">
      <c r="A1241" s="8" t="str" cm="1">
        <f t="array" aca="1" ref="A1241" ca="1">IF(INDIRECT("'Student_Record 1'!A" &amp; ROW())="", "", INDIRECT("'Student_Record 1'!A" &amp; ROW()))</f>
        <v/>
      </c>
      <c r="B1241" s="8" t="str" cm="1">
        <f t="array" aca="1" ref="B1241" ca="1">IF(INDIRECT("'Student_Record 1'!C" &amp; ROW())="", "", INDIRECT("'Student_Record 1'!C" &amp; ROW()))</f>
        <v/>
      </c>
      <c r="C1241" s="8" t="str" cm="1">
        <f t="array" aca="1" ref="C1241" ca="1">IF(INDIRECT("'Student_Record 1'!E" &amp; ROW())="", "", INDIRECT("'Student_Record 1'!E" &amp; ROW()))</f>
        <v/>
      </c>
      <c r="D1241" s="8" t="str" cm="1">
        <f t="array" aca="1" ref="D1241" ca="1">IF(INDIRECT("'Student_Record 1'!G" &amp; ROW())="", "", INDIRECT("'Student_Record 1'!G" &amp; ROW()))</f>
        <v/>
      </c>
      <c r="E1241" s="8" t="str" cm="1">
        <f t="array" aca="1" ref="E1241" ca="1">IF(INDIRECT("'Student_Record 1'!I" &amp; ROW())="", "", INDIRECT("'Student_Record 1'!I" &amp; ROW()))</f>
        <v/>
      </c>
      <c r="F1241" s="8" t="str" cm="1">
        <f t="array" aca="1" ref="F1241" ca="1">IF(INDIRECT("'Student_Record 1'!O" &amp; ROW())="", "", INDIRECT("'Student_Record 1'!O" &amp; ROW()))</f>
        <v/>
      </c>
    </row>
    <row r="1242" spans="1:6" x14ac:dyDescent="0.25">
      <c r="A1242" s="8" t="str" cm="1">
        <f t="array" aca="1" ref="A1242" ca="1">IF(INDIRECT("'Student_Record 1'!A" &amp; ROW())="", "", INDIRECT("'Student_Record 1'!A" &amp; ROW()))</f>
        <v/>
      </c>
      <c r="B1242" s="8" t="str" cm="1">
        <f t="array" aca="1" ref="B1242" ca="1">IF(INDIRECT("'Student_Record 1'!C" &amp; ROW())="", "", INDIRECT("'Student_Record 1'!C" &amp; ROW()))</f>
        <v/>
      </c>
      <c r="C1242" s="8" t="str" cm="1">
        <f t="array" aca="1" ref="C1242" ca="1">IF(INDIRECT("'Student_Record 1'!E" &amp; ROW())="", "", INDIRECT("'Student_Record 1'!E" &amp; ROW()))</f>
        <v/>
      </c>
      <c r="D1242" s="8" t="str" cm="1">
        <f t="array" aca="1" ref="D1242" ca="1">IF(INDIRECT("'Student_Record 1'!G" &amp; ROW())="", "", INDIRECT("'Student_Record 1'!G" &amp; ROW()))</f>
        <v/>
      </c>
      <c r="E1242" s="8" t="str" cm="1">
        <f t="array" aca="1" ref="E1242" ca="1">IF(INDIRECT("'Student_Record 1'!I" &amp; ROW())="", "", INDIRECT("'Student_Record 1'!I" &amp; ROW()))</f>
        <v/>
      </c>
      <c r="F1242" s="8" t="str" cm="1">
        <f t="array" aca="1" ref="F1242" ca="1">IF(INDIRECT("'Student_Record 1'!O" &amp; ROW())="", "", INDIRECT("'Student_Record 1'!O" &amp; ROW()))</f>
        <v/>
      </c>
    </row>
    <row r="1243" spans="1:6" x14ac:dyDescent="0.25">
      <c r="A1243" s="8" t="str" cm="1">
        <f t="array" aca="1" ref="A1243" ca="1">IF(INDIRECT("'Student_Record 1'!A" &amp; ROW())="", "", INDIRECT("'Student_Record 1'!A" &amp; ROW()))</f>
        <v/>
      </c>
      <c r="B1243" s="8" t="str" cm="1">
        <f t="array" aca="1" ref="B1243" ca="1">IF(INDIRECT("'Student_Record 1'!C" &amp; ROW())="", "", INDIRECT("'Student_Record 1'!C" &amp; ROW()))</f>
        <v/>
      </c>
      <c r="C1243" s="8" t="str" cm="1">
        <f t="array" aca="1" ref="C1243" ca="1">IF(INDIRECT("'Student_Record 1'!E" &amp; ROW())="", "", INDIRECT("'Student_Record 1'!E" &amp; ROW()))</f>
        <v/>
      </c>
      <c r="D1243" s="8" t="str" cm="1">
        <f t="array" aca="1" ref="D1243" ca="1">IF(INDIRECT("'Student_Record 1'!G" &amp; ROW())="", "", INDIRECT("'Student_Record 1'!G" &amp; ROW()))</f>
        <v/>
      </c>
      <c r="E1243" s="8" t="str" cm="1">
        <f t="array" aca="1" ref="E1243" ca="1">IF(INDIRECT("'Student_Record 1'!I" &amp; ROW())="", "", INDIRECT("'Student_Record 1'!I" &amp; ROW()))</f>
        <v/>
      </c>
      <c r="F1243" s="8" t="str" cm="1">
        <f t="array" aca="1" ref="F1243" ca="1">IF(INDIRECT("'Student_Record 1'!O" &amp; ROW())="", "", INDIRECT("'Student_Record 1'!O" &amp; ROW()))</f>
        <v/>
      </c>
    </row>
    <row r="1244" spans="1:6" x14ac:dyDescent="0.25">
      <c r="A1244" s="8" t="str" cm="1">
        <f t="array" aca="1" ref="A1244" ca="1">IF(INDIRECT("'Student_Record 1'!A" &amp; ROW())="", "", INDIRECT("'Student_Record 1'!A" &amp; ROW()))</f>
        <v/>
      </c>
      <c r="B1244" s="8" t="str" cm="1">
        <f t="array" aca="1" ref="B1244" ca="1">IF(INDIRECT("'Student_Record 1'!C" &amp; ROW())="", "", INDIRECT("'Student_Record 1'!C" &amp; ROW()))</f>
        <v/>
      </c>
      <c r="C1244" s="8" t="str" cm="1">
        <f t="array" aca="1" ref="C1244" ca="1">IF(INDIRECT("'Student_Record 1'!E" &amp; ROW())="", "", INDIRECT("'Student_Record 1'!E" &amp; ROW()))</f>
        <v/>
      </c>
      <c r="D1244" s="8" t="str" cm="1">
        <f t="array" aca="1" ref="D1244" ca="1">IF(INDIRECT("'Student_Record 1'!G" &amp; ROW())="", "", INDIRECT("'Student_Record 1'!G" &amp; ROW()))</f>
        <v/>
      </c>
      <c r="E1244" s="8" t="str" cm="1">
        <f t="array" aca="1" ref="E1244" ca="1">IF(INDIRECT("'Student_Record 1'!I" &amp; ROW())="", "", INDIRECT("'Student_Record 1'!I" &amp; ROW()))</f>
        <v/>
      </c>
      <c r="F1244" s="8" t="str" cm="1">
        <f t="array" aca="1" ref="F1244" ca="1">IF(INDIRECT("'Student_Record 1'!O" &amp; ROW())="", "", INDIRECT("'Student_Record 1'!O" &amp; ROW()))</f>
        <v/>
      </c>
    </row>
    <row r="1245" spans="1:6" x14ac:dyDescent="0.25">
      <c r="A1245" s="8" t="str" cm="1">
        <f t="array" aca="1" ref="A1245" ca="1">IF(INDIRECT("'Student_Record 1'!A" &amp; ROW())="", "", INDIRECT("'Student_Record 1'!A" &amp; ROW()))</f>
        <v/>
      </c>
      <c r="B1245" s="8" t="str" cm="1">
        <f t="array" aca="1" ref="B1245" ca="1">IF(INDIRECT("'Student_Record 1'!C" &amp; ROW())="", "", INDIRECT("'Student_Record 1'!C" &amp; ROW()))</f>
        <v/>
      </c>
      <c r="C1245" s="8" t="str" cm="1">
        <f t="array" aca="1" ref="C1245" ca="1">IF(INDIRECT("'Student_Record 1'!E" &amp; ROW())="", "", INDIRECT("'Student_Record 1'!E" &amp; ROW()))</f>
        <v/>
      </c>
      <c r="D1245" s="8" t="str" cm="1">
        <f t="array" aca="1" ref="D1245" ca="1">IF(INDIRECT("'Student_Record 1'!G" &amp; ROW())="", "", INDIRECT("'Student_Record 1'!G" &amp; ROW()))</f>
        <v/>
      </c>
      <c r="E1245" s="8" t="str" cm="1">
        <f t="array" aca="1" ref="E1245" ca="1">IF(INDIRECT("'Student_Record 1'!I" &amp; ROW())="", "", INDIRECT("'Student_Record 1'!I" &amp; ROW()))</f>
        <v/>
      </c>
      <c r="F1245" s="8" t="str" cm="1">
        <f t="array" aca="1" ref="F1245" ca="1">IF(INDIRECT("'Student_Record 1'!O" &amp; ROW())="", "", INDIRECT("'Student_Record 1'!O" &amp; ROW()))</f>
        <v/>
      </c>
    </row>
    <row r="1246" spans="1:6" x14ac:dyDescent="0.25">
      <c r="A1246" s="8" t="str" cm="1">
        <f t="array" aca="1" ref="A1246" ca="1">IF(INDIRECT("'Student_Record 1'!A" &amp; ROW())="", "", INDIRECT("'Student_Record 1'!A" &amp; ROW()))</f>
        <v/>
      </c>
      <c r="B1246" s="8" t="str" cm="1">
        <f t="array" aca="1" ref="B1246" ca="1">IF(INDIRECT("'Student_Record 1'!C" &amp; ROW())="", "", INDIRECT("'Student_Record 1'!C" &amp; ROW()))</f>
        <v/>
      </c>
      <c r="C1246" s="8" t="str" cm="1">
        <f t="array" aca="1" ref="C1246" ca="1">IF(INDIRECT("'Student_Record 1'!E" &amp; ROW())="", "", INDIRECT("'Student_Record 1'!E" &amp; ROW()))</f>
        <v/>
      </c>
      <c r="D1246" s="8" t="str" cm="1">
        <f t="array" aca="1" ref="D1246" ca="1">IF(INDIRECT("'Student_Record 1'!G" &amp; ROW())="", "", INDIRECT("'Student_Record 1'!G" &amp; ROW()))</f>
        <v/>
      </c>
      <c r="E1246" s="8" t="str" cm="1">
        <f t="array" aca="1" ref="E1246" ca="1">IF(INDIRECT("'Student_Record 1'!I" &amp; ROW())="", "", INDIRECT("'Student_Record 1'!I" &amp; ROW()))</f>
        <v/>
      </c>
      <c r="F1246" s="8" t="str" cm="1">
        <f t="array" aca="1" ref="F1246" ca="1">IF(INDIRECT("'Student_Record 1'!O" &amp; ROW())="", "", INDIRECT("'Student_Record 1'!O" &amp; ROW()))</f>
        <v/>
      </c>
    </row>
    <row r="1247" spans="1:6" x14ac:dyDescent="0.25">
      <c r="A1247" s="8" t="str" cm="1">
        <f t="array" aca="1" ref="A1247" ca="1">IF(INDIRECT("'Student_Record 1'!A" &amp; ROW())="", "", INDIRECT("'Student_Record 1'!A" &amp; ROW()))</f>
        <v/>
      </c>
      <c r="B1247" s="8" t="str" cm="1">
        <f t="array" aca="1" ref="B1247" ca="1">IF(INDIRECT("'Student_Record 1'!C" &amp; ROW())="", "", INDIRECT("'Student_Record 1'!C" &amp; ROW()))</f>
        <v/>
      </c>
      <c r="C1247" s="8" t="str" cm="1">
        <f t="array" aca="1" ref="C1247" ca="1">IF(INDIRECT("'Student_Record 1'!E" &amp; ROW())="", "", INDIRECT("'Student_Record 1'!E" &amp; ROW()))</f>
        <v/>
      </c>
      <c r="D1247" s="8" t="str" cm="1">
        <f t="array" aca="1" ref="D1247" ca="1">IF(INDIRECT("'Student_Record 1'!G" &amp; ROW())="", "", INDIRECT("'Student_Record 1'!G" &amp; ROW()))</f>
        <v/>
      </c>
      <c r="E1247" s="8" t="str" cm="1">
        <f t="array" aca="1" ref="E1247" ca="1">IF(INDIRECT("'Student_Record 1'!I" &amp; ROW())="", "", INDIRECT("'Student_Record 1'!I" &amp; ROW()))</f>
        <v/>
      </c>
      <c r="F1247" s="8" t="str" cm="1">
        <f t="array" aca="1" ref="F1247" ca="1">IF(INDIRECT("'Student_Record 1'!O" &amp; ROW())="", "", INDIRECT("'Student_Record 1'!O" &amp; ROW()))</f>
        <v/>
      </c>
    </row>
    <row r="1248" spans="1:6" x14ac:dyDescent="0.25">
      <c r="A1248" s="8" t="str" cm="1">
        <f t="array" aca="1" ref="A1248" ca="1">IF(INDIRECT("'Student_Record 1'!A" &amp; ROW())="", "", INDIRECT("'Student_Record 1'!A" &amp; ROW()))</f>
        <v/>
      </c>
      <c r="B1248" s="8" t="str" cm="1">
        <f t="array" aca="1" ref="B1248" ca="1">IF(INDIRECT("'Student_Record 1'!C" &amp; ROW())="", "", INDIRECT("'Student_Record 1'!C" &amp; ROW()))</f>
        <v/>
      </c>
      <c r="C1248" s="8" t="str" cm="1">
        <f t="array" aca="1" ref="C1248" ca="1">IF(INDIRECT("'Student_Record 1'!E" &amp; ROW())="", "", INDIRECT("'Student_Record 1'!E" &amp; ROW()))</f>
        <v/>
      </c>
      <c r="D1248" s="8" t="str" cm="1">
        <f t="array" aca="1" ref="D1248" ca="1">IF(INDIRECT("'Student_Record 1'!G" &amp; ROW())="", "", INDIRECT("'Student_Record 1'!G" &amp; ROW()))</f>
        <v/>
      </c>
      <c r="E1248" s="8" t="str" cm="1">
        <f t="array" aca="1" ref="E1248" ca="1">IF(INDIRECT("'Student_Record 1'!I" &amp; ROW())="", "", INDIRECT("'Student_Record 1'!I" &amp; ROW()))</f>
        <v/>
      </c>
      <c r="F1248" s="8" t="str" cm="1">
        <f t="array" aca="1" ref="F1248" ca="1">IF(INDIRECT("'Student_Record 1'!O" &amp; ROW())="", "", INDIRECT("'Student_Record 1'!O" &amp; ROW()))</f>
        <v/>
      </c>
    </row>
    <row r="1249" spans="1:6" x14ac:dyDescent="0.25">
      <c r="A1249" s="8" t="str" cm="1">
        <f t="array" aca="1" ref="A1249" ca="1">IF(INDIRECT("'Student_Record 1'!A" &amp; ROW())="", "", INDIRECT("'Student_Record 1'!A" &amp; ROW()))</f>
        <v/>
      </c>
      <c r="B1249" s="8" t="str" cm="1">
        <f t="array" aca="1" ref="B1249" ca="1">IF(INDIRECT("'Student_Record 1'!C" &amp; ROW())="", "", INDIRECT("'Student_Record 1'!C" &amp; ROW()))</f>
        <v/>
      </c>
      <c r="C1249" s="8" t="str" cm="1">
        <f t="array" aca="1" ref="C1249" ca="1">IF(INDIRECT("'Student_Record 1'!E" &amp; ROW())="", "", INDIRECT("'Student_Record 1'!E" &amp; ROW()))</f>
        <v/>
      </c>
      <c r="D1249" s="8" t="str" cm="1">
        <f t="array" aca="1" ref="D1249" ca="1">IF(INDIRECT("'Student_Record 1'!G" &amp; ROW())="", "", INDIRECT("'Student_Record 1'!G" &amp; ROW()))</f>
        <v/>
      </c>
      <c r="E1249" s="8" t="str" cm="1">
        <f t="array" aca="1" ref="E1249" ca="1">IF(INDIRECT("'Student_Record 1'!I" &amp; ROW())="", "", INDIRECT("'Student_Record 1'!I" &amp; ROW()))</f>
        <v/>
      </c>
      <c r="F1249" s="8" t="str" cm="1">
        <f t="array" aca="1" ref="F1249" ca="1">IF(INDIRECT("'Student_Record 1'!O" &amp; ROW())="", "", INDIRECT("'Student_Record 1'!O" &amp; ROW()))</f>
        <v/>
      </c>
    </row>
    <row r="1250" spans="1:6" x14ac:dyDescent="0.25">
      <c r="A1250" s="8" t="str" cm="1">
        <f t="array" aca="1" ref="A1250" ca="1">IF(INDIRECT("'Student_Record 1'!A" &amp; ROW())="", "", INDIRECT("'Student_Record 1'!A" &amp; ROW()))</f>
        <v/>
      </c>
      <c r="B1250" s="8" t="str" cm="1">
        <f t="array" aca="1" ref="B1250" ca="1">IF(INDIRECT("'Student_Record 1'!C" &amp; ROW())="", "", INDIRECT("'Student_Record 1'!C" &amp; ROW()))</f>
        <v/>
      </c>
      <c r="C1250" s="8" t="str" cm="1">
        <f t="array" aca="1" ref="C1250" ca="1">IF(INDIRECT("'Student_Record 1'!E" &amp; ROW())="", "", INDIRECT("'Student_Record 1'!E" &amp; ROW()))</f>
        <v/>
      </c>
      <c r="D1250" s="8" t="str" cm="1">
        <f t="array" aca="1" ref="D1250" ca="1">IF(INDIRECT("'Student_Record 1'!G" &amp; ROW())="", "", INDIRECT("'Student_Record 1'!G" &amp; ROW()))</f>
        <v/>
      </c>
      <c r="E1250" s="8" t="str" cm="1">
        <f t="array" aca="1" ref="E1250" ca="1">IF(INDIRECT("'Student_Record 1'!I" &amp; ROW())="", "", INDIRECT("'Student_Record 1'!I" &amp; ROW()))</f>
        <v/>
      </c>
      <c r="F1250" s="8" t="str" cm="1">
        <f t="array" aca="1" ref="F1250" ca="1">IF(INDIRECT("'Student_Record 1'!O" &amp; ROW())="", "", INDIRECT("'Student_Record 1'!O" &amp; ROW()))</f>
        <v/>
      </c>
    </row>
    <row r="1251" spans="1:6" x14ac:dyDescent="0.25">
      <c r="A1251" s="8" t="str" cm="1">
        <f t="array" aca="1" ref="A1251" ca="1">IF(INDIRECT("'Student_Record 1'!A" &amp; ROW())="", "", INDIRECT("'Student_Record 1'!A" &amp; ROW()))</f>
        <v/>
      </c>
      <c r="B1251" s="8" t="str" cm="1">
        <f t="array" aca="1" ref="B1251" ca="1">IF(INDIRECT("'Student_Record 1'!C" &amp; ROW())="", "", INDIRECT("'Student_Record 1'!C" &amp; ROW()))</f>
        <v/>
      </c>
      <c r="C1251" s="8" t="str" cm="1">
        <f t="array" aca="1" ref="C1251" ca="1">IF(INDIRECT("'Student_Record 1'!E" &amp; ROW())="", "", INDIRECT("'Student_Record 1'!E" &amp; ROW()))</f>
        <v/>
      </c>
      <c r="D1251" s="8" t="str" cm="1">
        <f t="array" aca="1" ref="D1251" ca="1">IF(INDIRECT("'Student_Record 1'!G" &amp; ROW())="", "", INDIRECT("'Student_Record 1'!G" &amp; ROW()))</f>
        <v/>
      </c>
      <c r="E1251" s="8" t="str" cm="1">
        <f t="array" aca="1" ref="E1251" ca="1">IF(INDIRECT("'Student_Record 1'!I" &amp; ROW())="", "", INDIRECT("'Student_Record 1'!I" &amp; ROW()))</f>
        <v/>
      </c>
      <c r="F1251" s="8" t="str" cm="1">
        <f t="array" aca="1" ref="F1251" ca="1">IF(INDIRECT("'Student_Record 1'!O" &amp; ROW())="", "", INDIRECT("'Student_Record 1'!O" &amp; ROW()))</f>
        <v/>
      </c>
    </row>
    <row r="1252" spans="1:6" x14ac:dyDescent="0.25">
      <c r="A1252" s="8" t="str" cm="1">
        <f t="array" aca="1" ref="A1252" ca="1">IF(INDIRECT("'Student_Record 1'!A" &amp; ROW())="", "", INDIRECT("'Student_Record 1'!A" &amp; ROW()))</f>
        <v/>
      </c>
      <c r="B1252" s="8" t="str" cm="1">
        <f t="array" aca="1" ref="B1252" ca="1">IF(INDIRECT("'Student_Record 1'!C" &amp; ROW())="", "", INDIRECT("'Student_Record 1'!C" &amp; ROW()))</f>
        <v/>
      </c>
      <c r="C1252" s="8" t="str" cm="1">
        <f t="array" aca="1" ref="C1252" ca="1">IF(INDIRECT("'Student_Record 1'!E" &amp; ROW())="", "", INDIRECT("'Student_Record 1'!E" &amp; ROW()))</f>
        <v/>
      </c>
      <c r="D1252" s="8" t="str" cm="1">
        <f t="array" aca="1" ref="D1252" ca="1">IF(INDIRECT("'Student_Record 1'!G" &amp; ROW())="", "", INDIRECT("'Student_Record 1'!G" &amp; ROW()))</f>
        <v/>
      </c>
      <c r="E1252" s="8" t="str" cm="1">
        <f t="array" aca="1" ref="E1252" ca="1">IF(INDIRECT("'Student_Record 1'!I" &amp; ROW())="", "", INDIRECT("'Student_Record 1'!I" &amp; ROW()))</f>
        <v/>
      </c>
      <c r="F1252" s="8" t="str" cm="1">
        <f t="array" aca="1" ref="F1252" ca="1">IF(INDIRECT("'Student_Record 1'!O" &amp; ROW())="", "", INDIRECT("'Student_Record 1'!O" &amp; ROW()))</f>
        <v/>
      </c>
    </row>
    <row r="1253" spans="1:6" x14ac:dyDescent="0.25">
      <c r="A1253" s="8" t="str" cm="1">
        <f t="array" aca="1" ref="A1253" ca="1">IF(INDIRECT("'Student_Record 1'!A" &amp; ROW())="", "", INDIRECT("'Student_Record 1'!A" &amp; ROW()))</f>
        <v/>
      </c>
      <c r="B1253" s="8" t="str" cm="1">
        <f t="array" aca="1" ref="B1253" ca="1">IF(INDIRECT("'Student_Record 1'!C" &amp; ROW())="", "", INDIRECT("'Student_Record 1'!C" &amp; ROW()))</f>
        <v/>
      </c>
      <c r="C1253" s="8" t="str" cm="1">
        <f t="array" aca="1" ref="C1253" ca="1">IF(INDIRECT("'Student_Record 1'!E" &amp; ROW())="", "", INDIRECT("'Student_Record 1'!E" &amp; ROW()))</f>
        <v/>
      </c>
      <c r="D1253" s="8" t="str" cm="1">
        <f t="array" aca="1" ref="D1253" ca="1">IF(INDIRECT("'Student_Record 1'!G" &amp; ROW())="", "", INDIRECT("'Student_Record 1'!G" &amp; ROW()))</f>
        <v/>
      </c>
      <c r="E1253" s="8" t="str" cm="1">
        <f t="array" aca="1" ref="E1253" ca="1">IF(INDIRECT("'Student_Record 1'!I" &amp; ROW())="", "", INDIRECT("'Student_Record 1'!I" &amp; ROW()))</f>
        <v/>
      </c>
      <c r="F1253" s="8" t="str" cm="1">
        <f t="array" aca="1" ref="F1253" ca="1">IF(INDIRECT("'Student_Record 1'!O" &amp; ROW())="", "", INDIRECT("'Student_Record 1'!O" &amp; ROW()))</f>
        <v/>
      </c>
    </row>
    <row r="1254" spans="1:6" x14ac:dyDescent="0.25">
      <c r="A1254" s="8" t="str" cm="1">
        <f t="array" aca="1" ref="A1254" ca="1">IF(INDIRECT("'Student_Record 1'!A" &amp; ROW())="", "", INDIRECT("'Student_Record 1'!A" &amp; ROW()))</f>
        <v/>
      </c>
      <c r="B1254" s="8" t="str" cm="1">
        <f t="array" aca="1" ref="B1254" ca="1">IF(INDIRECT("'Student_Record 1'!C" &amp; ROW())="", "", INDIRECT("'Student_Record 1'!C" &amp; ROW()))</f>
        <v/>
      </c>
      <c r="C1254" s="8" t="str" cm="1">
        <f t="array" aca="1" ref="C1254" ca="1">IF(INDIRECT("'Student_Record 1'!E" &amp; ROW())="", "", INDIRECT("'Student_Record 1'!E" &amp; ROW()))</f>
        <v/>
      </c>
      <c r="D1254" s="8" t="str" cm="1">
        <f t="array" aca="1" ref="D1254" ca="1">IF(INDIRECT("'Student_Record 1'!G" &amp; ROW())="", "", INDIRECT("'Student_Record 1'!G" &amp; ROW()))</f>
        <v/>
      </c>
      <c r="E1254" s="8" t="str" cm="1">
        <f t="array" aca="1" ref="E1254" ca="1">IF(INDIRECT("'Student_Record 1'!I" &amp; ROW())="", "", INDIRECT("'Student_Record 1'!I" &amp; ROW()))</f>
        <v/>
      </c>
      <c r="F1254" s="8" t="str" cm="1">
        <f t="array" aca="1" ref="F1254" ca="1">IF(INDIRECT("'Student_Record 1'!O" &amp; ROW())="", "", INDIRECT("'Student_Record 1'!O" &amp; ROW()))</f>
        <v/>
      </c>
    </row>
    <row r="1255" spans="1:6" x14ac:dyDescent="0.25">
      <c r="A1255" s="8" t="str" cm="1">
        <f t="array" aca="1" ref="A1255" ca="1">IF(INDIRECT("'Student_Record 1'!A" &amp; ROW())="", "", INDIRECT("'Student_Record 1'!A" &amp; ROW()))</f>
        <v/>
      </c>
      <c r="B1255" s="8" t="str" cm="1">
        <f t="array" aca="1" ref="B1255" ca="1">IF(INDIRECT("'Student_Record 1'!C" &amp; ROW())="", "", INDIRECT("'Student_Record 1'!C" &amp; ROW()))</f>
        <v/>
      </c>
      <c r="C1255" s="8" t="str" cm="1">
        <f t="array" aca="1" ref="C1255" ca="1">IF(INDIRECT("'Student_Record 1'!E" &amp; ROW())="", "", INDIRECT("'Student_Record 1'!E" &amp; ROW()))</f>
        <v/>
      </c>
      <c r="D1255" s="8" t="str" cm="1">
        <f t="array" aca="1" ref="D1255" ca="1">IF(INDIRECT("'Student_Record 1'!G" &amp; ROW())="", "", INDIRECT("'Student_Record 1'!G" &amp; ROW()))</f>
        <v/>
      </c>
      <c r="E1255" s="8" t="str" cm="1">
        <f t="array" aca="1" ref="E1255" ca="1">IF(INDIRECT("'Student_Record 1'!I" &amp; ROW())="", "", INDIRECT("'Student_Record 1'!I" &amp; ROW()))</f>
        <v/>
      </c>
      <c r="F1255" s="8" t="str" cm="1">
        <f t="array" aca="1" ref="F1255" ca="1">IF(INDIRECT("'Student_Record 1'!O" &amp; ROW())="", "", INDIRECT("'Student_Record 1'!O" &amp; ROW()))</f>
        <v/>
      </c>
    </row>
    <row r="1256" spans="1:6" x14ac:dyDescent="0.25">
      <c r="A1256" s="8" t="str" cm="1">
        <f t="array" aca="1" ref="A1256" ca="1">IF(INDIRECT("'Student_Record 1'!A" &amp; ROW())="", "", INDIRECT("'Student_Record 1'!A" &amp; ROW()))</f>
        <v/>
      </c>
      <c r="B1256" s="8" t="str" cm="1">
        <f t="array" aca="1" ref="B1256" ca="1">IF(INDIRECT("'Student_Record 1'!C" &amp; ROW())="", "", INDIRECT("'Student_Record 1'!C" &amp; ROW()))</f>
        <v/>
      </c>
      <c r="C1256" s="8" t="str" cm="1">
        <f t="array" aca="1" ref="C1256" ca="1">IF(INDIRECT("'Student_Record 1'!E" &amp; ROW())="", "", INDIRECT("'Student_Record 1'!E" &amp; ROW()))</f>
        <v/>
      </c>
      <c r="D1256" s="8" t="str" cm="1">
        <f t="array" aca="1" ref="D1256" ca="1">IF(INDIRECT("'Student_Record 1'!G" &amp; ROW())="", "", INDIRECT("'Student_Record 1'!G" &amp; ROW()))</f>
        <v/>
      </c>
      <c r="E1256" s="8" t="str" cm="1">
        <f t="array" aca="1" ref="E1256" ca="1">IF(INDIRECT("'Student_Record 1'!I" &amp; ROW())="", "", INDIRECT("'Student_Record 1'!I" &amp; ROW()))</f>
        <v/>
      </c>
      <c r="F1256" s="8" t="str" cm="1">
        <f t="array" aca="1" ref="F1256" ca="1">IF(INDIRECT("'Student_Record 1'!O" &amp; ROW())="", "", INDIRECT("'Student_Record 1'!O" &amp; ROW()))</f>
        <v/>
      </c>
    </row>
    <row r="1257" spans="1:6" x14ac:dyDescent="0.25">
      <c r="A1257" s="8" t="str" cm="1">
        <f t="array" aca="1" ref="A1257" ca="1">IF(INDIRECT("'Student_Record 1'!A" &amp; ROW())="", "", INDIRECT("'Student_Record 1'!A" &amp; ROW()))</f>
        <v/>
      </c>
      <c r="B1257" s="8" t="str" cm="1">
        <f t="array" aca="1" ref="B1257" ca="1">IF(INDIRECT("'Student_Record 1'!C" &amp; ROW())="", "", INDIRECT("'Student_Record 1'!C" &amp; ROW()))</f>
        <v/>
      </c>
      <c r="C1257" s="8" t="str" cm="1">
        <f t="array" aca="1" ref="C1257" ca="1">IF(INDIRECT("'Student_Record 1'!E" &amp; ROW())="", "", INDIRECT("'Student_Record 1'!E" &amp; ROW()))</f>
        <v/>
      </c>
      <c r="D1257" s="8" t="str" cm="1">
        <f t="array" aca="1" ref="D1257" ca="1">IF(INDIRECT("'Student_Record 1'!G" &amp; ROW())="", "", INDIRECT("'Student_Record 1'!G" &amp; ROW()))</f>
        <v/>
      </c>
      <c r="E1257" s="8" t="str" cm="1">
        <f t="array" aca="1" ref="E1257" ca="1">IF(INDIRECT("'Student_Record 1'!I" &amp; ROW())="", "", INDIRECT("'Student_Record 1'!I" &amp; ROW()))</f>
        <v/>
      </c>
      <c r="F1257" s="8" t="str" cm="1">
        <f t="array" aca="1" ref="F1257" ca="1">IF(INDIRECT("'Student_Record 1'!O" &amp; ROW())="", "", INDIRECT("'Student_Record 1'!O" &amp; ROW()))</f>
        <v/>
      </c>
    </row>
    <row r="1258" spans="1:6" x14ac:dyDescent="0.25">
      <c r="A1258" s="8" t="str" cm="1">
        <f t="array" aca="1" ref="A1258" ca="1">IF(INDIRECT("'Student_Record 1'!A" &amp; ROW())="", "", INDIRECT("'Student_Record 1'!A" &amp; ROW()))</f>
        <v/>
      </c>
      <c r="B1258" s="8" t="str" cm="1">
        <f t="array" aca="1" ref="B1258" ca="1">IF(INDIRECT("'Student_Record 1'!C" &amp; ROW())="", "", INDIRECT("'Student_Record 1'!C" &amp; ROW()))</f>
        <v/>
      </c>
      <c r="C1258" s="8" t="str" cm="1">
        <f t="array" aca="1" ref="C1258" ca="1">IF(INDIRECT("'Student_Record 1'!E" &amp; ROW())="", "", INDIRECT("'Student_Record 1'!E" &amp; ROW()))</f>
        <v/>
      </c>
      <c r="D1258" s="8" t="str" cm="1">
        <f t="array" aca="1" ref="D1258" ca="1">IF(INDIRECT("'Student_Record 1'!G" &amp; ROW())="", "", INDIRECT("'Student_Record 1'!G" &amp; ROW()))</f>
        <v/>
      </c>
      <c r="E1258" s="8" t="str" cm="1">
        <f t="array" aca="1" ref="E1258" ca="1">IF(INDIRECT("'Student_Record 1'!I" &amp; ROW())="", "", INDIRECT("'Student_Record 1'!I" &amp; ROW()))</f>
        <v/>
      </c>
      <c r="F1258" s="8" t="str" cm="1">
        <f t="array" aca="1" ref="F1258" ca="1">IF(INDIRECT("'Student_Record 1'!O" &amp; ROW())="", "", INDIRECT("'Student_Record 1'!O" &amp; ROW()))</f>
        <v/>
      </c>
    </row>
    <row r="1259" spans="1:6" x14ac:dyDescent="0.25">
      <c r="A1259" s="8" t="str" cm="1">
        <f t="array" aca="1" ref="A1259" ca="1">IF(INDIRECT("'Student_Record 1'!A" &amp; ROW())="", "", INDIRECT("'Student_Record 1'!A" &amp; ROW()))</f>
        <v/>
      </c>
      <c r="B1259" s="8" t="str" cm="1">
        <f t="array" aca="1" ref="B1259" ca="1">IF(INDIRECT("'Student_Record 1'!C" &amp; ROW())="", "", INDIRECT("'Student_Record 1'!C" &amp; ROW()))</f>
        <v/>
      </c>
      <c r="C1259" s="8" t="str" cm="1">
        <f t="array" aca="1" ref="C1259" ca="1">IF(INDIRECT("'Student_Record 1'!E" &amp; ROW())="", "", INDIRECT("'Student_Record 1'!E" &amp; ROW()))</f>
        <v/>
      </c>
      <c r="D1259" s="8" t="str" cm="1">
        <f t="array" aca="1" ref="D1259" ca="1">IF(INDIRECT("'Student_Record 1'!G" &amp; ROW())="", "", INDIRECT("'Student_Record 1'!G" &amp; ROW()))</f>
        <v/>
      </c>
      <c r="E1259" s="8" t="str" cm="1">
        <f t="array" aca="1" ref="E1259" ca="1">IF(INDIRECT("'Student_Record 1'!I" &amp; ROW())="", "", INDIRECT("'Student_Record 1'!I" &amp; ROW()))</f>
        <v/>
      </c>
      <c r="F1259" s="8" t="str" cm="1">
        <f t="array" aca="1" ref="F1259" ca="1">IF(INDIRECT("'Student_Record 1'!O" &amp; ROW())="", "", INDIRECT("'Student_Record 1'!O" &amp; ROW()))</f>
        <v/>
      </c>
    </row>
    <row r="1260" spans="1:6" x14ac:dyDescent="0.25">
      <c r="A1260" s="8" t="str" cm="1">
        <f t="array" aca="1" ref="A1260" ca="1">IF(INDIRECT("'Student_Record 1'!A" &amp; ROW())="", "", INDIRECT("'Student_Record 1'!A" &amp; ROW()))</f>
        <v/>
      </c>
      <c r="B1260" s="8" t="str" cm="1">
        <f t="array" aca="1" ref="B1260" ca="1">IF(INDIRECT("'Student_Record 1'!C" &amp; ROW())="", "", INDIRECT("'Student_Record 1'!C" &amp; ROW()))</f>
        <v/>
      </c>
      <c r="C1260" s="8" t="str" cm="1">
        <f t="array" aca="1" ref="C1260" ca="1">IF(INDIRECT("'Student_Record 1'!E" &amp; ROW())="", "", INDIRECT("'Student_Record 1'!E" &amp; ROW()))</f>
        <v/>
      </c>
      <c r="D1260" s="8" t="str" cm="1">
        <f t="array" aca="1" ref="D1260" ca="1">IF(INDIRECT("'Student_Record 1'!G" &amp; ROW())="", "", INDIRECT("'Student_Record 1'!G" &amp; ROW()))</f>
        <v/>
      </c>
      <c r="E1260" s="8" t="str" cm="1">
        <f t="array" aca="1" ref="E1260" ca="1">IF(INDIRECT("'Student_Record 1'!I" &amp; ROW())="", "", INDIRECT("'Student_Record 1'!I" &amp; ROW()))</f>
        <v/>
      </c>
      <c r="F1260" s="8" t="str" cm="1">
        <f t="array" aca="1" ref="F1260" ca="1">IF(INDIRECT("'Student_Record 1'!O" &amp; ROW())="", "", INDIRECT("'Student_Record 1'!O" &amp; ROW()))</f>
        <v/>
      </c>
    </row>
    <row r="1261" spans="1:6" x14ac:dyDescent="0.25">
      <c r="A1261" s="8" t="str" cm="1">
        <f t="array" aca="1" ref="A1261" ca="1">IF(INDIRECT("'Student_Record 1'!A" &amp; ROW())="", "", INDIRECT("'Student_Record 1'!A" &amp; ROW()))</f>
        <v/>
      </c>
      <c r="B1261" s="8" t="str" cm="1">
        <f t="array" aca="1" ref="B1261" ca="1">IF(INDIRECT("'Student_Record 1'!C" &amp; ROW())="", "", INDIRECT("'Student_Record 1'!C" &amp; ROW()))</f>
        <v/>
      </c>
      <c r="C1261" s="8" t="str" cm="1">
        <f t="array" aca="1" ref="C1261" ca="1">IF(INDIRECT("'Student_Record 1'!E" &amp; ROW())="", "", INDIRECT("'Student_Record 1'!E" &amp; ROW()))</f>
        <v/>
      </c>
      <c r="D1261" s="8" t="str" cm="1">
        <f t="array" aca="1" ref="D1261" ca="1">IF(INDIRECT("'Student_Record 1'!G" &amp; ROW())="", "", INDIRECT("'Student_Record 1'!G" &amp; ROW()))</f>
        <v/>
      </c>
      <c r="E1261" s="8" t="str" cm="1">
        <f t="array" aca="1" ref="E1261" ca="1">IF(INDIRECT("'Student_Record 1'!I" &amp; ROW())="", "", INDIRECT("'Student_Record 1'!I" &amp; ROW()))</f>
        <v/>
      </c>
      <c r="F1261" s="8" t="str" cm="1">
        <f t="array" aca="1" ref="F1261" ca="1">IF(INDIRECT("'Student_Record 1'!O" &amp; ROW())="", "", INDIRECT("'Student_Record 1'!O" &amp; ROW()))</f>
        <v/>
      </c>
    </row>
    <row r="1262" spans="1:6" x14ac:dyDescent="0.25">
      <c r="A1262" s="8" t="str" cm="1">
        <f t="array" aca="1" ref="A1262" ca="1">IF(INDIRECT("'Student_Record 1'!A" &amp; ROW())="", "", INDIRECT("'Student_Record 1'!A" &amp; ROW()))</f>
        <v/>
      </c>
      <c r="B1262" s="8" t="str" cm="1">
        <f t="array" aca="1" ref="B1262" ca="1">IF(INDIRECT("'Student_Record 1'!C" &amp; ROW())="", "", INDIRECT("'Student_Record 1'!C" &amp; ROW()))</f>
        <v/>
      </c>
      <c r="C1262" s="8" t="str" cm="1">
        <f t="array" aca="1" ref="C1262" ca="1">IF(INDIRECT("'Student_Record 1'!E" &amp; ROW())="", "", INDIRECT("'Student_Record 1'!E" &amp; ROW()))</f>
        <v/>
      </c>
      <c r="D1262" s="8" t="str" cm="1">
        <f t="array" aca="1" ref="D1262" ca="1">IF(INDIRECT("'Student_Record 1'!G" &amp; ROW())="", "", INDIRECT("'Student_Record 1'!G" &amp; ROW()))</f>
        <v/>
      </c>
      <c r="E1262" s="8" t="str" cm="1">
        <f t="array" aca="1" ref="E1262" ca="1">IF(INDIRECT("'Student_Record 1'!I" &amp; ROW())="", "", INDIRECT("'Student_Record 1'!I" &amp; ROW()))</f>
        <v/>
      </c>
      <c r="F1262" s="8" t="str" cm="1">
        <f t="array" aca="1" ref="F1262" ca="1">IF(INDIRECT("'Student_Record 1'!O" &amp; ROW())="", "", INDIRECT("'Student_Record 1'!O" &amp; ROW()))</f>
        <v/>
      </c>
    </row>
    <row r="1263" spans="1:6" x14ac:dyDescent="0.25">
      <c r="A1263" s="8" t="str" cm="1">
        <f t="array" aca="1" ref="A1263" ca="1">IF(INDIRECT("'Student_Record 1'!A" &amp; ROW())="", "", INDIRECT("'Student_Record 1'!A" &amp; ROW()))</f>
        <v/>
      </c>
      <c r="B1263" s="8" t="str" cm="1">
        <f t="array" aca="1" ref="B1263" ca="1">IF(INDIRECT("'Student_Record 1'!C" &amp; ROW())="", "", INDIRECT("'Student_Record 1'!C" &amp; ROW()))</f>
        <v/>
      </c>
      <c r="C1263" s="8" t="str" cm="1">
        <f t="array" aca="1" ref="C1263" ca="1">IF(INDIRECT("'Student_Record 1'!E" &amp; ROW())="", "", INDIRECT("'Student_Record 1'!E" &amp; ROW()))</f>
        <v/>
      </c>
      <c r="D1263" s="8" t="str" cm="1">
        <f t="array" aca="1" ref="D1263" ca="1">IF(INDIRECT("'Student_Record 1'!G" &amp; ROW())="", "", INDIRECT("'Student_Record 1'!G" &amp; ROW()))</f>
        <v/>
      </c>
      <c r="E1263" s="8" t="str" cm="1">
        <f t="array" aca="1" ref="E1263" ca="1">IF(INDIRECT("'Student_Record 1'!I" &amp; ROW())="", "", INDIRECT("'Student_Record 1'!I" &amp; ROW()))</f>
        <v/>
      </c>
      <c r="F1263" s="8" t="str" cm="1">
        <f t="array" aca="1" ref="F1263" ca="1">IF(INDIRECT("'Student_Record 1'!O" &amp; ROW())="", "", INDIRECT("'Student_Record 1'!O" &amp; ROW()))</f>
        <v/>
      </c>
    </row>
    <row r="1264" spans="1:6" x14ac:dyDescent="0.25">
      <c r="A1264" s="8" t="str" cm="1">
        <f t="array" aca="1" ref="A1264" ca="1">IF(INDIRECT("'Student_Record 1'!A" &amp; ROW())="", "", INDIRECT("'Student_Record 1'!A" &amp; ROW()))</f>
        <v/>
      </c>
      <c r="B1264" s="8" t="str" cm="1">
        <f t="array" aca="1" ref="B1264" ca="1">IF(INDIRECT("'Student_Record 1'!C" &amp; ROW())="", "", INDIRECT("'Student_Record 1'!C" &amp; ROW()))</f>
        <v/>
      </c>
      <c r="C1264" s="8" t="str" cm="1">
        <f t="array" aca="1" ref="C1264" ca="1">IF(INDIRECT("'Student_Record 1'!E" &amp; ROW())="", "", INDIRECT("'Student_Record 1'!E" &amp; ROW()))</f>
        <v/>
      </c>
      <c r="D1264" s="8" t="str" cm="1">
        <f t="array" aca="1" ref="D1264" ca="1">IF(INDIRECT("'Student_Record 1'!G" &amp; ROW())="", "", INDIRECT("'Student_Record 1'!G" &amp; ROW()))</f>
        <v/>
      </c>
      <c r="E1264" s="8" t="str" cm="1">
        <f t="array" aca="1" ref="E1264" ca="1">IF(INDIRECT("'Student_Record 1'!I" &amp; ROW())="", "", INDIRECT("'Student_Record 1'!I" &amp; ROW()))</f>
        <v/>
      </c>
      <c r="F1264" s="8" t="str" cm="1">
        <f t="array" aca="1" ref="F1264" ca="1">IF(INDIRECT("'Student_Record 1'!O" &amp; ROW())="", "", INDIRECT("'Student_Record 1'!O" &amp; ROW()))</f>
        <v/>
      </c>
    </row>
    <row r="1265" spans="1:6" x14ac:dyDescent="0.25">
      <c r="A1265" s="8" t="str" cm="1">
        <f t="array" aca="1" ref="A1265" ca="1">IF(INDIRECT("'Student_Record 1'!A" &amp; ROW())="", "", INDIRECT("'Student_Record 1'!A" &amp; ROW()))</f>
        <v/>
      </c>
      <c r="B1265" s="8" t="str" cm="1">
        <f t="array" aca="1" ref="B1265" ca="1">IF(INDIRECT("'Student_Record 1'!C" &amp; ROW())="", "", INDIRECT("'Student_Record 1'!C" &amp; ROW()))</f>
        <v/>
      </c>
      <c r="C1265" s="8" t="str" cm="1">
        <f t="array" aca="1" ref="C1265" ca="1">IF(INDIRECT("'Student_Record 1'!E" &amp; ROW())="", "", INDIRECT("'Student_Record 1'!E" &amp; ROW()))</f>
        <v/>
      </c>
      <c r="D1265" s="8" t="str" cm="1">
        <f t="array" aca="1" ref="D1265" ca="1">IF(INDIRECT("'Student_Record 1'!G" &amp; ROW())="", "", INDIRECT("'Student_Record 1'!G" &amp; ROW()))</f>
        <v/>
      </c>
      <c r="E1265" s="8" t="str" cm="1">
        <f t="array" aca="1" ref="E1265" ca="1">IF(INDIRECT("'Student_Record 1'!I" &amp; ROW())="", "", INDIRECT("'Student_Record 1'!I" &amp; ROW()))</f>
        <v/>
      </c>
      <c r="F1265" s="8" t="str" cm="1">
        <f t="array" aca="1" ref="F1265" ca="1">IF(INDIRECT("'Student_Record 1'!O" &amp; ROW())="", "", INDIRECT("'Student_Record 1'!O" &amp; ROW()))</f>
        <v/>
      </c>
    </row>
    <row r="1266" spans="1:6" x14ac:dyDescent="0.25">
      <c r="A1266" s="8" t="str" cm="1">
        <f t="array" aca="1" ref="A1266" ca="1">IF(INDIRECT("'Student_Record 1'!A" &amp; ROW())="", "", INDIRECT("'Student_Record 1'!A" &amp; ROW()))</f>
        <v/>
      </c>
      <c r="B1266" s="8" t="str" cm="1">
        <f t="array" aca="1" ref="B1266" ca="1">IF(INDIRECT("'Student_Record 1'!C" &amp; ROW())="", "", INDIRECT("'Student_Record 1'!C" &amp; ROW()))</f>
        <v/>
      </c>
      <c r="C1266" s="8" t="str" cm="1">
        <f t="array" aca="1" ref="C1266" ca="1">IF(INDIRECT("'Student_Record 1'!E" &amp; ROW())="", "", INDIRECT("'Student_Record 1'!E" &amp; ROW()))</f>
        <v/>
      </c>
      <c r="D1266" s="8" t="str" cm="1">
        <f t="array" aca="1" ref="D1266" ca="1">IF(INDIRECT("'Student_Record 1'!G" &amp; ROW())="", "", INDIRECT("'Student_Record 1'!G" &amp; ROW()))</f>
        <v/>
      </c>
      <c r="E1266" s="8" t="str" cm="1">
        <f t="array" aca="1" ref="E1266" ca="1">IF(INDIRECT("'Student_Record 1'!I" &amp; ROW())="", "", INDIRECT("'Student_Record 1'!I" &amp; ROW()))</f>
        <v/>
      </c>
      <c r="F1266" s="8" t="str" cm="1">
        <f t="array" aca="1" ref="F1266" ca="1">IF(INDIRECT("'Student_Record 1'!O" &amp; ROW())="", "", INDIRECT("'Student_Record 1'!O" &amp; ROW()))</f>
        <v/>
      </c>
    </row>
    <row r="1267" spans="1:6" x14ac:dyDescent="0.25">
      <c r="A1267" s="8" t="str" cm="1">
        <f t="array" aca="1" ref="A1267" ca="1">IF(INDIRECT("'Student_Record 1'!A" &amp; ROW())="", "", INDIRECT("'Student_Record 1'!A" &amp; ROW()))</f>
        <v/>
      </c>
      <c r="B1267" s="8" t="str" cm="1">
        <f t="array" aca="1" ref="B1267" ca="1">IF(INDIRECT("'Student_Record 1'!C" &amp; ROW())="", "", INDIRECT("'Student_Record 1'!C" &amp; ROW()))</f>
        <v/>
      </c>
      <c r="C1267" s="8" t="str" cm="1">
        <f t="array" aca="1" ref="C1267" ca="1">IF(INDIRECT("'Student_Record 1'!E" &amp; ROW())="", "", INDIRECT("'Student_Record 1'!E" &amp; ROW()))</f>
        <v/>
      </c>
      <c r="D1267" s="8" t="str" cm="1">
        <f t="array" aca="1" ref="D1267" ca="1">IF(INDIRECT("'Student_Record 1'!G" &amp; ROW())="", "", INDIRECT("'Student_Record 1'!G" &amp; ROW()))</f>
        <v/>
      </c>
      <c r="E1267" s="8" t="str" cm="1">
        <f t="array" aca="1" ref="E1267" ca="1">IF(INDIRECT("'Student_Record 1'!I" &amp; ROW())="", "", INDIRECT("'Student_Record 1'!I" &amp; ROW()))</f>
        <v/>
      </c>
      <c r="F1267" s="8" t="str" cm="1">
        <f t="array" aca="1" ref="F1267" ca="1">IF(INDIRECT("'Student_Record 1'!O" &amp; ROW())="", "", INDIRECT("'Student_Record 1'!O" &amp; ROW()))</f>
        <v/>
      </c>
    </row>
    <row r="1268" spans="1:6" x14ac:dyDescent="0.25">
      <c r="A1268" s="8" t="str" cm="1">
        <f t="array" aca="1" ref="A1268" ca="1">IF(INDIRECT("'Student_Record 1'!A" &amp; ROW())="", "", INDIRECT("'Student_Record 1'!A" &amp; ROW()))</f>
        <v/>
      </c>
      <c r="B1268" s="8" t="str" cm="1">
        <f t="array" aca="1" ref="B1268" ca="1">IF(INDIRECT("'Student_Record 1'!C" &amp; ROW())="", "", INDIRECT("'Student_Record 1'!C" &amp; ROW()))</f>
        <v/>
      </c>
      <c r="C1268" s="8" t="str" cm="1">
        <f t="array" aca="1" ref="C1268" ca="1">IF(INDIRECT("'Student_Record 1'!E" &amp; ROW())="", "", INDIRECT("'Student_Record 1'!E" &amp; ROW()))</f>
        <v/>
      </c>
      <c r="D1268" s="8" t="str" cm="1">
        <f t="array" aca="1" ref="D1268" ca="1">IF(INDIRECT("'Student_Record 1'!G" &amp; ROW())="", "", INDIRECT("'Student_Record 1'!G" &amp; ROW()))</f>
        <v/>
      </c>
      <c r="E1268" s="8" t="str" cm="1">
        <f t="array" aca="1" ref="E1268" ca="1">IF(INDIRECT("'Student_Record 1'!I" &amp; ROW())="", "", INDIRECT("'Student_Record 1'!I" &amp; ROW()))</f>
        <v/>
      </c>
      <c r="F1268" s="8" t="str" cm="1">
        <f t="array" aca="1" ref="F1268" ca="1">IF(INDIRECT("'Student_Record 1'!O" &amp; ROW())="", "", INDIRECT("'Student_Record 1'!O" &amp; ROW()))</f>
        <v/>
      </c>
    </row>
    <row r="1269" spans="1:6" x14ac:dyDescent="0.25">
      <c r="A1269" s="8" t="str" cm="1">
        <f t="array" aca="1" ref="A1269" ca="1">IF(INDIRECT("'Student_Record 1'!A" &amp; ROW())="", "", INDIRECT("'Student_Record 1'!A" &amp; ROW()))</f>
        <v/>
      </c>
      <c r="B1269" s="8" t="str" cm="1">
        <f t="array" aca="1" ref="B1269" ca="1">IF(INDIRECT("'Student_Record 1'!C" &amp; ROW())="", "", INDIRECT("'Student_Record 1'!C" &amp; ROW()))</f>
        <v/>
      </c>
      <c r="C1269" s="8" t="str" cm="1">
        <f t="array" aca="1" ref="C1269" ca="1">IF(INDIRECT("'Student_Record 1'!E" &amp; ROW())="", "", INDIRECT("'Student_Record 1'!E" &amp; ROW()))</f>
        <v/>
      </c>
      <c r="D1269" s="8" t="str" cm="1">
        <f t="array" aca="1" ref="D1269" ca="1">IF(INDIRECT("'Student_Record 1'!G" &amp; ROW())="", "", INDIRECT("'Student_Record 1'!G" &amp; ROW()))</f>
        <v/>
      </c>
      <c r="E1269" s="8" t="str" cm="1">
        <f t="array" aca="1" ref="E1269" ca="1">IF(INDIRECT("'Student_Record 1'!I" &amp; ROW())="", "", INDIRECT("'Student_Record 1'!I" &amp; ROW()))</f>
        <v/>
      </c>
      <c r="F1269" s="8" t="str" cm="1">
        <f t="array" aca="1" ref="F1269" ca="1">IF(INDIRECT("'Student_Record 1'!O" &amp; ROW())="", "", INDIRECT("'Student_Record 1'!O" &amp; ROW()))</f>
        <v/>
      </c>
    </row>
    <row r="1270" spans="1:6" x14ac:dyDescent="0.25">
      <c r="A1270" s="8" t="str" cm="1">
        <f t="array" aca="1" ref="A1270" ca="1">IF(INDIRECT("'Student_Record 1'!A" &amp; ROW())="", "", INDIRECT("'Student_Record 1'!A" &amp; ROW()))</f>
        <v/>
      </c>
      <c r="B1270" s="8" t="str" cm="1">
        <f t="array" aca="1" ref="B1270" ca="1">IF(INDIRECT("'Student_Record 1'!C" &amp; ROW())="", "", INDIRECT("'Student_Record 1'!C" &amp; ROW()))</f>
        <v/>
      </c>
      <c r="C1270" s="8" t="str" cm="1">
        <f t="array" aca="1" ref="C1270" ca="1">IF(INDIRECT("'Student_Record 1'!E" &amp; ROW())="", "", INDIRECT("'Student_Record 1'!E" &amp; ROW()))</f>
        <v/>
      </c>
      <c r="D1270" s="8" t="str" cm="1">
        <f t="array" aca="1" ref="D1270" ca="1">IF(INDIRECT("'Student_Record 1'!G" &amp; ROW())="", "", INDIRECT("'Student_Record 1'!G" &amp; ROW()))</f>
        <v/>
      </c>
      <c r="E1270" s="8" t="str" cm="1">
        <f t="array" aca="1" ref="E1270" ca="1">IF(INDIRECT("'Student_Record 1'!I" &amp; ROW())="", "", INDIRECT("'Student_Record 1'!I" &amp; ROW()))</f>
        <v/>
      </c>
      <c r="F1270" s="8" t="str" cm="1">
        <f t="array" aca="1" ref="F1270" ca="1">IF(INDIRECT("'Student_Record 1'!O" &amp; ROW())="", "", INDIRECT("'Student_Record 1'!O" &amp; ROW()))</f>
        <v/>
      </c>
    </row>
    <row r="1271" spans="1:6" x14ac:dyDescent="0.25">
      <c r="A1271" s="8" t="str" cm="1">
        <f t="array" aca="1" ref="A1271" ca="1">IF(INDIRECT("'Student_Record 1'!A" &amp; ROW())="", "", INDIRECT("'Student_Record 1'!A" &amp; ROW()))</f>
        <v/>
      </c>
      <c r="B1271" s="8" t="str" cm="1">
        <f t="array" aca="1" ref="B1271" ca="1">IF(INDIRECT("'Student_Record 1'!C" &amp; ROW())="", "", INDIRECT("'Student_Record 1'!C" &amp; ROW()))</f>
        <v/>
      </c>
      <c r="C1271" s="8" t="str" cm="1">
        <f t="array" aca="1" ref="C1271" ca="1">IF(INDIRECT("'Student_Record 1'!E" &amp; ROW())="", "", INDIRECT("'Student_Record 1'!E" &amp; ROW()))</f>
        <v/>
      </c>
      <c r="D1271" s="8" t="str" cm="1">
        <f t="array" aca="1" ref="D1271" ca="1">IF(INDIRECT("'Student_Record 1'!G" &amp; ROW())="", "", INDIRECT("'Student_Record 1'!G" &amp; ROW()))</f>
        <v/>
      </c>
      <c r="E1271" s="8" t="str" cm="1">
        <f t="array" aca="1" ref="E1271" ca="1">IF(INDIRECT("'Student_Record 1'!I" &amp; ROW())="", "", INDIRECT("'Student_Record 1'!I" &amp; ROW()))</f>
        <v/>
      </c>
      <c r="F1271" s="8" t="str" cm="1">
        <f t="array" aca="1" ref="F1271" ca="1">IF(INDIRECT("'Student_Record 1'!O" &amp; ROW())="", "", INDIRECT("'Student_Record 1'!O" &amp; ROW()))</f>
        <v/>
      </c>
    </row>
    <row r="1272" spans="1:6" x14ac:dyDescent="0.25">
      <c r="A1272" s="8" t="str" cm="1">
        <f t="array" aca="1" ref="A1272" ca="1">IF(INDIRECT("'Student_Record 1'!A" &amp; ROW())="", "", INDIRECT("'Student_Record 1'!A" &amp; ROW()))</f>
        <v/>
      </c>
      <c r="B1272" s="8" t="str" cm="1">
        <f t="array" aca="1" ref="B1272" ca="1">IF(INDIRECT("'Student_Record 1'!C" &amp; ROW())="", "", INDIRECT("'Student_Record 1'!C" &amp; ROW()))</f>
        <v/>
      </c>
      <c r="C1272" s="8" t="str" cm="1">
        <f t="array" aca="1" ref="C1272" ca="1">IF(INDIRECT("'Student_Record 1'!E" &amp; ROW())="", "", INDIRECT("'Student_Record 1'!E" &amp; ROW()))</f>
        <v/>
      </c>
      <c r="D1272" s="8" t="str" cm="1">
        <f t="array" aca="1" ref="D1272" ca="1">IF(INDIRECT("'Student_Record 1'!G" &amp; ROW())="", "", INDIRECT("'Student_Record 1'!G" &amp; ROW()))</f>
        <v/>
      </c>
      <c r="E1272" s="8" t="str" cm="1">
        <f t="array" aca="1" ref="E1272" ca="1">IF(INDIRECT("'Student_Record 1'!I" &amp; ROW())="", "", INDIRECT("'Student_Record 1'!I" &amp; ROW()))</f>
        <v/>
      </c>
      <c r="F1272" s="8" t="str" cm="1">
        <f t="array" aca="1" ref="F1272" ca="1">IF(INDIRECT("'Student_Record 1'!O" &amp; ROW())="", "", INDIRECT("'Student_Record 1'!O" &amp; ROW()))</f>
        <v/>
      </c>
    </row>
    <row r="1273" spans="1:6" x14ac:dyDescent="0.25">
      <c r="A1273" s="8" t="str" cm="1">
        <f t="array" aca="1" ref="A1273" ca="1">IF(INDIRECT("'Student_Record 1'!A" &amp; ROW())="", "", INDIRECT("'Student_Record 1'!A" &amp; ROW()))</f>
        <v/>
      </c>
      <c r="B1273" s="8" t="str" cm="1">
        <f t="array" aca="1" ref="B1273" ca="1">IF(INDIRECT("'Student_Record 1'!C" &amp; ROW())="", "", INDIRECT("'Student_Record 1'!C" &amp; ROW()))</f>
        <v/>
      </c>
      <c r="C1273" s="8" t="str" cm="1">
        <f t="array" aca="1" ref="C1273" ca="1">IF(INDIRECT("'Student_Record 1'!E" &amp; ROW())="", "", INDIRECT("'Student_Record 1'!E" &amp; ROW()))</f>
        <v/>
      </c>
      <c r="D1273" s="8" t="str" cm="1">
        <f t="array" aca="1" ref="D1273" ca="1">IF(INDIRECT("'Student_Record 1'!G" &amp; ROW())="", "", INDIRECT("'Student_Record 1'!G" &amp; ROW()))</f>
        <v/>
      </c>
      <c r="E1273" s="8" t="str" cm="1">
        <f t="array" aca="1" ref="E1273" ca="1">IF(INDIRECT("'Student_Record 1'!I" &amp; ROW())="", "", INDIRECT("'Student_Record 1'!I" &amp; ROW()))</f>
        <v/>
      </c>
      <c r="F1273" s="8" t="str" cm="1">
        <f t="array" aca="1" ref="F1273" ca="1">IF(INDIRECT("'Student_Record 1'!O" &amp; ROW())="", "", INDIRECT("'Student_Record 1'!O" &amp; ROW()))</f>
        <v/>
      </c>
    </row>
    <row r="1274" spans="1:6" x14ac:dyDescent="0.25">
      <c r="A1274" s="8" t="str" cm="1">
        <f t="array" aca="1" ref="A1274" ca="1">IF(INDIRECT("'Student_Record 1'!A" &amp; ROW())="", "", INDIRECT("'Student_Record 1'!A" &amp; ROW()))</f>
        <v/>
      </c>
      <c r="B1274" s="8" t="str" cm="1">
        <f t="array" aca="1" ref="B1274" ca="1">IF(INDIRECT("'Student_Record 1'!C" &amp; ROW())="", "", INDIRECT("'Student_Record 1'!C" &amp; ROW()))</f>
        <v/>
      </c>
      <c r="C1274" s="8" t="str" cm="1">
        <f t="array" aca="1" ref="C1274" ca="1">IF(INDIRECT("'Student_Record 1'!E" &amp; ROW())="", "", INDIRECT("'Student_Record 1'!E" &amp; ROW()))</f>
        <v/>
      </c>
      <c r="D1274" s="8" t="str" cm="1">
        <f t="array" aca="1" ref="D1274" ca="1">IF(INDIRECT("'Student_Record 1'!G" &amp; ROW())="", "", INDIRECT("'Student_Record 1'!G" &amp; ROW()))</f>
        <v/>
      </c>
      <c r="E1274" s="8" t="str" cm="1">
        <f t="array" aca="1" ref="E1274" ca="1">IF(INDIRECT("'Student_Record 1'!I" &amp; ROW())="", "", INDIRECT("'Student_Record 1'!I" &amp; ROW()))</f>
        <v/>
      </c>
      <c r="F1274" s="8" t="str" cm="1">
        <f t="array" aca="1" ref="F1274" ca="1">IF(INDIRECT("'Student_Record 1'!O" &amp; ROW())="", "", INDIRECT("'Student_Record 1'!O" &amp; ROW()))</f>
        <v/>
      </c>
    </row>
    <row r="1275" spans="1:6" x14ac:dyDescent="0.25">
      <c r="A1275" s="8" t="str" cm="1">
        <f t="array" aca="1" ref="A1275" ca="1">IF(INDIRECT("'Student_Record 1'!A" &amp; ROW())="", "", INDIRECT("'Student_Record 1'!A" &amp; ROW()))</f>
        <v/>
      </c>
      <c r="B1275" s="8" t="str" cm="1">
        <f t="array" aca="1" ref="B1275" ca="1">IF(INDIRECT("'Student_Record 1'!C" &amp; ROW())="", "", INDIRECT("'Student_Record 1'!C" &amp; ROW()))</f>
        <v/>
      </c>
      <c r="C1275" s="8" t="str" cm="1">
        <f t="array" aca="1" ref="C1275" ca="1">IF(INDIRECT("'Student_Record 1'!E" &amp; ROW())="", "", INDIRECT("'Student_Record 1'!E" &amp; ROW()))</f>
        <v/>
      </c>
      <c r="D1275" s="8" t="str" cm="1">
        <f t="array" aca="1" ref="D1275" ca="1">IF(INDIRECT("'Student_Record 1'!G" &amp; ROW())="", "", INDIRECT("'Student_Record 1'!G" &amp; ROW()))</f>
        <v/>
      </c>
      <c r="E1275" s="8" t="str" cm="1">
        <f t="array" aca="1" ref="E1275" ca="1">IF(INDIRECT("'Student_Record 1'!I" &amp; ROW())="", "", INDIRECT("'Student_Record 1'!I" &amp; ROW()))</f>
        <v/>
      </c>
      <c r="F1275" s="8" t="str" cm="1">
        <f t="array" aca="1" ref="F1275" ca="1">IF(INDIRECT("'Student_Record 1'!O" &amp; ROW())="", "", INDIRECT("'Student_Record 1'!O" &amp; ROW()))</f>
        <v/>
      </c>
    </row>
    <row r="1276" spans="1:6" x14ac:dyDescent="0.25">
      <c r="A1276" s="8" t="str" cm="1">
        <f t="array" aca="1" ref="A1276" ca="1">IF(INDIRECT("'Student_Record 1'!A" &amp; ROW())="", "", INDIRECT("'Student_Record 1'!A" &amp; ROW()))</f>
        <v/>
      </c>
      <c r="B1276" s="8" t="str" cm="1">
        <f t="array" aca="1" ref="B1276" ca="1">IF(INDIRECT("'Student_Record 1'!C" &amp; ROW())="", "", INDIRECT("'Student_Record 1'!C" &amp; ROW()))</f>
        <v/>
      </c>
      <c r="C1276" s="8" t="str" cm="1">
        <f t="array" aca="1" ref="C1276" ca="1">IF(INDIRECT("'Student_Record 1'!E" &amp; ROW())="", "", INDIRECT("'Student_Record 1'!E" &amp; ROW()))</f>
        <v/>
      </c>
      <c r="D1276" s="8" t="str" cm="1">
        <f t="array" aca="1" ref="D1276" ca="1">IF(INDIRECT("'Student_Record 1'!G" &amp; ROW())="", "", INDIRECT("'Student_Record 1'!G" &amp; ROW()))</f>
        <v/>
      </c>
      <c r="E1276" s="8" t="str" cm="1">
        <f t="array" aca="1" ref="E1276" ca="1">IF(INDIRECT("'Student_Record 1'!I" &amp; ROW())="", "", INDIRECT("'Student_Record 1'!I" &amp; ROW()))</f>
        <v/>
      </c>
      <c r="F1276" s="8" t="str" cm="1">
        <f t="array" aca="1" ref="F1276" ca="1">IF(INDIRECT("'Student_Record 1'!O" &amp; ROW())="", "", INDIRECT("'Student_Record 1'!O" &amp; ROW()))</f>
        <v/>
      </c>
    </row>
    <row r="1277" spans="1:6" x14ac:dyDescent="0.25">
      <c r="A1277" s="8" t="str" cm="1">
        <f t="array" aca="1" ref="A1277" ca="1">IF(INDIRECT("'Student_Record 1'!A" &amp; ROW())="", "", INDIRECT("'Student_Record 1'!A" &amp; ROW()))</f>
        <v/>
      </c>
      <c r="B1277" s="8" t="str" cm="1">
        <f t="array" aca="1" ref="B1277" ca="1">IF(INDIRECT("'Student_Record 1'!C" &amp; ROW())="", "", INDIRECT("'Student_Record 1'!C" &amp; ROW()))</f>
        <v/>
      </c>
      <c r="C1277" s="8" t="str" cm="1">
        <f t="array" aca="1" ref="C1277" ca="1">IF(INDIRECT("'Student_Record 1'!E" &amp; ROW())="", "", INDIRECT("'Student_Record 1'!E" &amp; ROW()))</f>
        <v/>
      </c>
      <c r="D1277" s="8" t="str" cm="1">
        <f t="array" aca="1" ref="D1277" ca="1">IF(INDIRECT("'Student_Record 1'!G" &amp; ROW())="", "", INDIRECT("'Student_Record 1'!G" &amp; ROW()))</f>
        <v/>
      </c>
      <c r="E1277" s="8" t="str" cm="1">
        <f t="array" aca="1" ref="E1277" ca="1">IF(INDIRECT("'Student_Record 1'!I" &amp; ROW())="", "", INDIRECT("'Student_Record 1'!I" &amp; ROW()))</f>
        <v/>
      </c>
      <c r="F1277" s="8" t="str" cm="1">
        <f t="array" aca="1" ref="F1277" ca="1">IF(INDIRECT("'Student_Record 1'!O" &amp; ROW())="", "", INDIRECT("'Student_Record 1'!O" &amp; ROW()))</f>
        <v/>
      </c>
    </row>
    <row r="1278" spans="1:6" x14ac:dyDescent="0.25">
      <c r="A1278" s="8" t="str" cm="1">
        <f t="array" aca="1" ref="A1278" ca="1">IF(INDIRECT("'Student_Record 1'!A" &amp; ROW())="", "", INDIRECT("'Student_Record 1'!A" &amp; ROW()))</f>
        <v/>
      </c>
      <c r="B1278" s="8" t="str" cm="1">
        <f t="array" aca="1" ref="B1278" ca="1">IF(INDIRECT("'Student_Record 1'!C" &amp; ROW())="", "", INDIRECT("'Student_Record 1'!C" &amp; ROW()))</f>
        <v/>
      </c>
      <c r="C1278" s="8" t="str" cm="1">
        <f t="array" aca="1" ref="C1278" ca="1">IF(INDIRECT("'Student_Record 1'!E" &amp; ROW())="", "", INDIRECT("'Student_Record 1'!E" &amp; ROW()))</f>
        <v/>
      </c>
      <c r="D1278" s="8" t="str" cm="1">
        <f t="array" aca="1" ref="D1278" ca="1">IF(INDIRECT("'Student_Record 1'!G" &amp; ROW())="", "", INDIRECT("'Student_Record 1'!G" &amp; ROW()))</f>
        <v/>
      </c>
      <c r="E1278" s="8" t="str" cm="1">
        <f t="array" aca="1" ref="E1278" ca="1">IF(INDIRECT("'Student_Record 1'!I" &amp; ROW())="", "", INDIRECT("'Student_Record 1'!I" &amp; ROW()))</f>
        <v/>
      </c>
      <c r="F1278" s="8" t="str" cm="1">
        <f t="array" aca="1" ref="F1278" ca="1">IF(INDIRECT("'Student_Record 1'!O" &amp; ROW())="", "", INDIRECT("'Student_Record 1'!O" &amp; ROW()))</f>
        <v/>
      </c>
    </row>
    <row r="1279" spans="1:6" x14ac:dyDescent="0.25">
      <c r="A1279" s="8" t="str" cm="1">
        <f t="array" aca="1" ref="A1279" ca="1">IF(INDIRECT("'Student_Record 1'!A" &amp; ROW())="", "", INDIRECT("'Student_Record 1'!A" &amp; ROW()))</f>
        <v/>
      </c>
      <c r="B1279" s="8" t="str" cm="1">
        <f t="array" aca="1" ref="B1279" ca="1">IF(INDIRECT("'Student_Record 1'!C" &amp; ROW())="", "", INDIRECT("'Student_Record 1'!C" &amp; ROW()))</f>
        <v/>
      </c>
      <c r="C1279" s="8" t="str" cm="1">
        <f t="array" aca="1" ref="C1279" ca="1">IF(INDIRECT("'Student_Record 1'!E" &amp; ROW())="", "", INDIRECT("'Student_Record 1'!E" &amp; ROW()))</f>
        <v/>
      </c>
      <c r="D1279" s="8" t="str" cm="1">
        <f t="array" aca="1" ref="D1279" ca="1">IF(INDIRECT("'Student_Record 1'!G" &amp; ROW())="", "", INDIRECT("'Student_Record 1'!G" &amp; ROW()))</f>
        <v/>
      </c>
      <c r="E1279" s="8" t="str" cm="1">
        <f t="array" aca="1" ref="E1279" ca="1">IF(INDIRECT("'Student_Record 1'!I" &amp; ROW())="", "", INDIRECT("'Student_Record 1'!I" &amp; ROW()))</f>
        <v/>
      </c>
      <c r="F1279" s="8" t="str" cm="1">
        <f t="array" aca="1" ref="F1279" ca="1">IF(INDIRECT("'Student_Record 1'!O" &amp; ROW())="", "", INDIRECT("'Student_Record 1'!O" &amp; ROW()))</f>
        <v/>
      </c>
    </row>
    <row r="1280" spans="1:6" x14ac:dyDescent="0.25">
      <c r="A1280" s="8" t="str" cm="1">
        <f t="array" aca="1" ref="A1280" ca="1">IF(INDIRECT("'Student_Record 1'!A" &amp; ROW())="", "", INDIRECT("'Student_Record 1'!A" &amp; ROW()))</f>
        <v/>
      </c>
      <c r="B1280" s="8" t="str" cm="1">
        <f t="array" aca="1" ref="B1280" ca="1">IF(INDIRECT("'Student_Record 1'!C" &amp; ROW())="", "", INDIRECT("'Student_Record 1'!C" &amp; ROW()))</f>
        <v/>
      </c>
      <c r="C1280" s="8" t="str" cm="1">
        <f t="array" aca="1" ref="C1280" ca="1">IF(INDIRECT("'Student_Record 1'!E" &amp; ROW())="", "", INDIRECT("'Student_Record 1'!E" &amp; ROW()))</f>
        <v/>
      </c>
      <c r="D1280" s="8" t="str" cm="1">
        <f t="array" aca="1" ref="D1280" ca="1">IF(INDIRECT("'Student_Record 1'!G" &amp; ROW())="", "", INDIRECT("'Student_Record 1'!G" &amp; ROW()))</f>
        <v/>
      </c>
      <c r="E1280" s="8" t="str" cm="1">
        <f t="array" aca="1" ref="E1280" ca="1">IF(INDIRECT("'Student_Record 1'!I" &amp; ROW())="", "", INDIRECT("'Student_Record 1'!I" &amp; ROW()))</f>
        <v/>
      </c>
      <c r="F1280" s="8" t="str" cm="1">
        <f t="array" aca="1" ref="F1280" ca="1">IF(INDIRECT("'Student_Record 1'!O" &amp; ROW())="", "", INDIRECT("'Student_Record 1'!O" &amp; ROW()))</f>
        <v/>
      </c>
    </row>
    <row r="1281" spans="1:6" x14ac:dyDescent="0.25">
      <c r="A1281" s="8" t="str" cm="1">
        <f t="array" aca="1" ref="A1281" ca="1">IF(INDIRECT("'Student_Record 1'!A" &amp; ROW())="", "", INDIRECT("'Student_Record 1'!A" &amp; ROW()))</f>
        <v/>
      </c>
      <c r="B1281" s="8" t="str" cm="1">
        <f t="array" aca="1" ref="B1281" ca="1">IF(INDIRECT("'Student_Record 1'!C" &amp; ROW())="", "", INDIRECT("'Student_Record 1'!C" &amp; ROW()))</f>
        <v/>
      </c>
      <c r="C1281" s="8" t="str" cm="1">
        <f t="array" aca="1" ref="C1281" ca="1">IF(INDIRECT("'Student_Record 1'!E" &amp; ROW())="", "", INDIRECT("'Student_Record 1'!E" &amp; ROW()))</f>
        <v/>
      </c>
      <c r="D1281" s="8" t="str" cm="1">
        <f t="array" aca="1" ref="D1281" ca="1">IF(INDIRECT("'Student_Record 1'!G" &amp; ROW())="", "", INDIRECT("'Student_Record 1'!G" &amp; ROW()))</f>
        <v/>
      </c>
      <c r="E1281" s="8" t="str" cm="1">
        <f t="array" aca="1" ref="E1281" ca="1">IF(INDIRECT("'Student_Record 1'!I" &amp; ROW())="", "", INDIRECT("'Student_Record 1'!I" &amp; ROW()))</f>
        <v/>
      </c>
      <c r="F1281" s="8" t="str" cm="1">
        <f t="array" aca="1" ref="F1281" ca="1">IF(INDIRECT("'Student_Record 1'!O" &amp; ROW())="", "", INDIRECT("'Student_Record 1'!O" &amp; ROW()))</f>
        <v/>
      </c>
    </row>
    <row r="1282" spans="1:6" x14ac:dyDescent="0.25">
      <c r="A1282" s="8" t="str" cm="1">
        <f t="array" aca="1" ref="A1282" ca="1">IF(INDIRECT("'Student_Record 1'!A" &amp; ROW())="", "", INDIRECT("'Student_Record 1'!A" &amp; ROW()))</f>
        <v/>
      </c>
      <c r="B1282" s="8" t="str" cm="1">
        <f t="array" aca="1" ref="B1282" ca="1">IF(INDIRECT("'Student_Record 1'!C" &amp; ROW())="", "", INDIRECT("'Student_Record 1'!C" &amp; ROW()))</f>
        <v/>
      </c>
      <c r="C1282" s="8" t="str" cm="1">
        <f t="array" aca="1" ref="C1282" ca="1">IF(INDIRECT("'Student_Record 1'!E" &amp; ROW())="", "", INDIRECT("'Student_Record 1'!E" &amp; ROW()))</f>
        <v/>
      </c>
      <c r="D1282" s="8" t="str" cm="1">
        <f t="array" aca="1" ref="D1282" ca="1">IF(INDIRECT("'Student_Record 1'!G" &amp; ROW())="", "", INDIRECT("'Student_Record 1'!G" &amp; ROW()))</f>
        <v/>
      </c>
      <c r="E1282" s="8" t="str" cm="1">
        <f t="array" aca="1" ref="E1282" ca="1">IF(INDIRECT("'Student_Record 1'!I" &amp; ROW())="", "", INDIRECT("'Student_Record 1'!I" &amp; ROW()))</f>
        <v/>
      </c>
      <c r="F1282" s="8" t="str" cm="1">
        <f t="array" aca="1" ref="F1282" ca="1">IF(INDIRECT("'Student_Record 1'!O" &amp; ROW())="", "", INDIRECT("'Student_Record 1'!O" &amp; ROW()))</f>
        <v/>
      </c>
    </row>
    <row r="1283" spans="1:6" x14ac:dyDescent="0.25">
      <c r="A1283" s="8" t="str" cm="1">
        <f t="array" aca="1" ref="A1283" ca="1">IF(INDIRECT("'Student_Record 1'!A" &amp; ROW())="", "", INDIRECT("'Student_Record 1'!A" &amp; ROW()))</f>
        <v/>
      </c>
      <c r="B1283" s="8" t="str" cm="1">
        <f t="array" aca="1" ref="B1283" ca="1">IF(INDIRECT("'Student_Record 1'!C" &amp; ROW())="", "", INDIRECT("'Student_Record 1'!C" &amp; ROW()))</f>
        <v/>
      </c>
      <c r="C1283" s="8" t="str" cm="1">
        <f t="array" aca="1" ref="C1283" ca="1">IF(INDIRECT("'Student_Record 1'!E" &amp; ROW())="", "", INDIRECT("'Student_Record 1'!E" &amp; ROW()))</f>
        <v/>
      </c>
      <c r="D1283" s="8" t="str" cm="1">
        <f t="array" aca="1" ref="D1283" ca="1">IF(INDIRECT("'Student_Record 1'!G" &amp; ROW())="", "", INDIRECT("'Student_Record 1'!G" &amp; ROW()))</f>
        <v/>
      </c>
      <c r="E1283" s="8" t="str" cm="1">
        <f t="array" aca="1" ref="E1283" ca="1">IF(INDIRECT("'Student_Record 1'!I" &amp; ROW())="", "", INDIRECT("'Student_Record 1'!I" &amp; ROW()))</f>
        <v/>
      </c>
      <c r="F1283" s="8" t="str" cm="1">
        <f t="array" aca="1" ref="F1283" ca="1">IF(INDIRECT("'Student_Record 1'!O" &amp; ROW())="", "", INDIRECT("'Student_Record 1'!O" &amp; ROW()))</f>
        <v/>
      </c>
    </row>
    <row r="1284" spans="1:6" x14ac:dyDescent="0.25">
      <c r="A1284" s="8" t="str" cm="1">
        <f t="array" aca="1" ref="A1284" ca="1">IF(INDIRECT("'Student_Record 1'!A" &amp; ROW())="", "", INDIRECT("'Student_Record 1'!A" &amp; ROW()))</f>
        <v/>
      </c>
      <c r="B1284" s="8" t="str" cm="1">
        <f t="array" aca="1" ref="B1284" ca="1">IF(INDIRECT("'Student_Record 1'!C" &amp; ROW())="", "", INDIRECT("'Student_Record 1'!C" &amp; ROW()))</f>
        <v/>
      </c>
      <c r="C1284" s="8" t="str" cm="1">
        <f t="array" aca="1" ref="C1284" ca="1">IF(INDIRECT("'Student_Record 1'!E" &amp; ROW())="", "", INDIRECT("'Student_Record 1'!E" &amp; ROW()))</f>
        <v/>
      </c>
      <c r="D1284" s="8" t="str" cm="1">
        <f t="array" aca="1" ref="D1284" ca="1">IF(INDIRECT("'Student_Record 1'!G" &amp; ROW())="", "", INDIRECT("'Student_Record 1'!G" &amp; ROW()))</f>
        <v/>
      </c>
      <c r="E1284" s="8" t="str" cm="1">
        <f t="array" aca="1" ref="E1284" ca="1">IF(INDIRECT("'Student_Record 1'!I" &amp; ROW())="", "", INDIRECT("'Student_Record 1'!I" &amp; ROW()))</f>
        <v/>
      </c>
      <c r="F1284" s="8" t="str" cm="1">
        <f t="array" aca="1" ref="F1284" ca="1">IF(INDIRECT("'Student_Record 1'!O" &amp; ROW())="", "", INDIRECT("'Student_Record 1'!O" &amp; ROW()))</f>
        <v/>
      </c>
    </row>
    <row r="1285" spans="1:6" x14ac:dyDescent="0.25">
      <c r="A1285" s="8" t="str" cm="1">
        <f t="array" aca="1" ref="A1285" ca="1">IF(INDIRECT("'Student_Record 1'!A" &amp; ROW())="", "", INDIRECT("'Student_Record 1'!A" &amp; ROW()))</f>
        <v/>
      </c>
      <c r="B1285" s="8" t="str" cm="1">
        <f t="array" aca="1" ref="B1285" ca="1">IF(INDIRECT("'Student_Record 1'!C" &amp; ROW())="", "", INDIRECT("'Student_Record 1'!C" &amp; ROW()))</f>
        <v/>
      </c>
      <c r="C1285" s="8" t="str" cm="1">
        <f t="array" aca="1" ref="C1285" ca="1">IF(INDIRECT("'Student_Record 1'!E" &amp; ROW())="", "", INDIRECT("'Student_Record 1'!E" &amp; ROW()))</f>
        <v/>
      </c>
      <c r="D1285" s="8" t="str" cm="1">
        <f t="array" aca="1" ref="D1285" ca="1">IF(INDIRECT("'Student_Record 1'!G" &amp; ROW())="", "", INDIRECT("'Student_Record 1'!G" &amp; ROW()))</f>
        <v/>
      </c>
      <c r="E1285" s="8" t="str" cm="1">
        <f t="array" aca="1" ref="E1285" ca="1">IF(INDIRECT("'Student_Record 1'!I" &amp; ROW())="", "", INDIRECT("'Student_Record 1'!I" &amp; ROW()))</f>
        <v/>
      </c>
      <c r="F1285" s="8" t="str" cm="1">
        <f t="array" aca="1" ref="F1285" ca="1">IF(INDIRECT("'Student_Record 1'!O" &amp; ROW())="", "", INDIRECT("'Student_Record 1'!O" &amp; ROW()))</f>
        <v/>
      </c>
    </row>
    <row r="1286" spans="1:6" x14ac:dyDescent="0.25">
      <c r="A1286" s="8" t="str" cm="1">
        <f t="array" aca="1" ref="A1286" ca="1">IF(INDIRECT("'Student_Record 1'!A" &amp; ROW())="", "", INDIRECT("'Student_Record 1'!A" &amp; ROW()))</f>
        <v/>
      </c>
      <c r="B1286" s="8" t="str" cm="1">
        <f t="array" aca="1" ref="B1286" ca="1">IF(INDIRECT("'Student_Record 1'!C" &amp; ROW())="", "", INDIRECT("'Student_Record 1'!C" &amp; ROW()))</f>
        <v/>
      </c>
      <c r="C1286" s="8" t="str" cm="1">
        <f t="array" aca="1" ref="C1286" ca="1">IF(INDIRECT("'Student_Record 1'!E" &amp; ROW())="", "", INDIRECT("'Student_Record 1'!E" &amp; ROW()))</f>
        <v/>
      </c>
      <c r="D1286" s="8" t="str" cm="1">
        <f t="array" aca="1" ref="D1286" ca="1">IF(INDIRECT("'Student_Record 1'!G" &amp; ROW())="", "", INDIRECT("'Student_Record 1'!G" &amp; ROW()))</f>
        <v/>
      </c>
      <c r="E1286" s="8" t="str" cm="1">
        <f t="array" aca="1" ref="E1286" ca="1">IF(INDIRECT("'Student_Record 1'!I" &amp; ROW())="", "", INDIRECT("'Student_Record 1'!I" &amp; ROW()))</f>
        <v/>
      </c>
      <c r="F1286" s="8" t="str" cm="1">
        <f t="array" aca="1" ref="F1286" ca="1">IF(INDIRECT("'Student_Record 1'!O" &amp; ROW())="", "", INDIRECT("'Student_Record 1'!O" &amp; ROW()))</f>
        <v/>
      </c>
    </row>
    <row r="1287" spans="1:6" x14ac:dyDescent="0.25">
      <c r="A1287" s="8" t="str" cm="1">
        <f t="array" aca="1" ref="A1287" ca="1">IF(INDIRECT("'Student_Record 1'!A" &amp; ROW())="", "", INDIRECT("'Student_Record 1'!A" &amp; ROW()))</f>
        <v/>
      </c>
      <c r="B1287" s="8" t="str" cm="1">
        <f t="array" aca="1" ref="B1287" ca="1">IF(INDIRECT("'Student_Record 1'!C" &amp; ROW())="", "", INDIRECT("'Student_Record 1'!C" &amp; ROW()))</f>
        <v/>
      </c>
      <c r="C1287" s="8" t="str" cm="1">
        <f t="array" aca="1" ref="C1287" ca="1">IF(INDIRECT("'Student_Record 1'!E" &amp; ROW())="", "", INDIRECT("'Student_Record 1'!E" &amp; ROW()))</f>
        <v/>
      </c>
      <c r="D1287" s="8" t="str" cm="1">
        <f t="array" aca="1" ref="D1287" ca="1">IF(INDIRECT("'Student_Record 1'!G" &amp; ROW())="", "", INDIRECT("'Student_Record 1'!G" &amp; ROW()))</f>
        <v/>
      </c>
      <c r="E1287" s="8" t="str" cm="1">
        <f t="array" aca="1" ref="E1287" ca="1">IF(INDIRECT("'Student_Record 1'!I" &amp; ROW())="", "", INDIRECT("'Student_Record 1'!I" &amp; ROW()))</f>
        <v/>
      </c>
      <c r="F1287" s="8" t="str" cm="1">
        <f t="array" aca="1" ref="F1287" ca="1">IF(INDIRECT("'Student_Record 1'!O" &amp; ROW())="", "", INDIRECT("'Student_Record 1'!O" &amp; ROW()))</f>
        <v/>
      </c>
    </row>
    <row r="1288" spans="1:6" x14ac:dyDescent="0.25">
      <c r="A1288" s="8" t="str" cm="1">
        <f t="array" aca="1" ref="A1288" ca="1">IF(INDIRECT("'Student_Record 1'!A" &amp; ROW())="", "", INDIRECT("'Student_Record 1'!A" &amp; ROW()))</f>
        <v/>
      </c>
      <c r="B1288" s="8" t="str" cm="1">
        <f t="array" aca="1" ref="B1288" ca="1">IF(INDIRECT("'Student_Record 1'!C" &amp; ROW())="", "", INDIRECT("'Student_Record 1'!C" &amp; ROW()))</f>
        <v/>
      </c>
      <c r="C1288" s="8" t="str" cm="1">
        <f t="array" aca="1" ref="C1288" ca="1">IF(INDIRECT("'Student_Record 1'!E" &amp; ROW())="", "", INDIRECT("'Student_Record 1'!E" &amp; ROW()))</f>
        <v/>
      </c>
      <c r="D1288" s="8" t="str" cm="1">
        <f t="array" aca="1" ref="D1288" ca="1">IF(INDIRECT("'Student_Record 1'!G" &amp; ROW())="", "", INDIRECT("'Student_Record 1'!G" &amp; ROW()))</f>
        <v/>
      </c>
      <c r="E1288" s="8" t="str" cm="1">
        <f t="array" aca="1" ref="E1288" ca="1">IF(INDIRECT("'Student_Record 1'!I" &amp; ROW())="", "", INDIRECT("'Student_Record 1'!I" &amp; ROW()))</f>
        <v/>
      </c>
      <c r="F1288" s="8" t="str" cm="1">
        <f t="array" aca="1" ref="F1288" ca="1">IF(INDIRECT("'Student_Record 1'!O" &amp; ROW())="", "", INDIRECT("'Student_Record 1'!O" &amp; ROW()))</f>
        <v/>
      </c>
    </row>
    <row r="1289" spans="1:6" x14ac:dyDescent="0.25">
      <c r="A1289" s="8" t="str" cm="1">
        <f t="array" aca="1" ref="A1289" ca="1">IF(INDIRECT("'Student_Record 1'!A" &amp; ROW())="", "", INDIRECT("'Student_Record 1'!A" &amp; ROW()))</f>
        <v/>
      </c>
      <c r="B1289" s="8" t="str" cm="1">
        <f t="array" aca="1" ref="B1289" ca="1">IF(INDIRECT("'Student_Record 1'!C" &amp; ROW())="", "", INDIRECT("'Student_Record 1'!C" &amp; ROW()))</f>
        <v/>
      </c>
      <c r="C1289" s="8" t="str" cm="1">
        <f t="array" aca="1" ref="C1289" ca="1">IF(INDIRECT("'Student_Record 1'!E" &amp; ROW())="", "", INDIRECT("'Student_Record 1'!E" &amp; ROW()))</f>
        <v/>
      </c>
      <c r="D1289" s="8" t="str" cm="1">
        <f t="array" aca="1" ref="D1289" ca="1">IF(INDIRECT("'Student_Record 1'!G" &amp; ROW())="", "", INDIRECT("'Student_Record 1'!G" &amp; ROW()))</f>
        <v/>
      </c>
      <c r="E1289" s="8" t="str" cm="1">
        <f t="array" aca="1" ref="E1289" ca="1">IF(INDIRECT("'Student_Record 1'!I" &amp; ROW())="", "", INDIRECT("'Student_Record 1'!I" &amp; ROW()))</f>
        <v/>
      </c>
      <c r="F1289" s="8" t="str" cm="1">
        <f t="array" aca="1" ref="F1289" ca="1">IF(INDIRECT("'Student_Record 1'!O" &amp; ROW())="", "", INDIRECT("'Student_Record 1'!O" &amp; ROW()))</f>
        <v/>
      </c>
    </row>
    <row r="1290" spans="1:6" x14ac:dyDescent="0.25">
      <c r="A1290" s="8" t="str" cm="1">
        <f t="array" aca="1" ref="A1290" ca="1">IF(INDIRECT("'Student_Record 1'!A" &amp; ROW())="", "", INDIRECT("'Student_Record 1'!A" &amp; ROW()))</f>
        <v/>
      </c>
      <c r="B1290" s="8" t="str" cm="1">
        <f t="array" aca="1" ref="B1290" ca="1">IF(INDIRECT("'Student_Record 1'!C" &amp; ROW())="", "", INDIRECT("'Student_Record 1'!C" &amp; ROW()))</f>
        <v/>
      </c>
      <c r="C1290" s="8" t="str" cm="1">
        <f t="array" aca="1" ref="C1290" ca="1">IF(INDIRECT("'Student_Record 1'!E" &amp; ROW())="", "", INDIRECT("'Student_Record 1'!E" &amp; ROW()))</f>
        <v/>
      </c>
      <c r="D1290" s="8" t="str" cm="1">
        <f t="array" aca="1" ref="D1290" ca="1">IF(INDIRECT("'Student_Record 1'!G" &amp; ROW())="", "", INDIRECT("'Student_Record 1'!G" &amp; ROW()))</f>
        <v/>
      </c>
      <c r="E1290" s="8" t="str" cm="1">
        <f t="array" aca="1" ref="E1290" ca="1">IF(INDIRECT("'Student_Record 1'!I" &amp; ROW())="", "", INDIRECT("'Student_Record 1'!I" &amp; ROW()))</f>
        <v/>
      </c>
      <c r="F1290" s="8" t="str" cm="1">
        <f t="array" aca="1" ref="F1290" ca="1">IF(INDIRECT("'Student_Record 1'!O" &amp; ROW())="", "", INDIRECT("'Student_Record 1'!O" &amp; ROW()))</f>
        <v/>
      </c>
    </row>
    <row r="1291" spans="1:6" x14ac:dyDescent="0.25">
      <c r="A1291" s="8" t="str" cm="1">
        <f t="array" aca="1" ref="A1291" ca="1">IF(INDIRECT("'Student_Record 1'!A" &amp; ROW())="", "", INDIRECT("'Student_Record 1'!A" &amp; ROW()))</f>
        <v/>
      </c>
      <c r="B1291" s="8" t="str" cm="1">
        <f t="array" aca="1" ref="B1291" ca="1">IF(INDIRECT("'Student_Record 1'!C" &amp; ROW())="", "", INDIRECT("'Student_Record 1'!C" &amp; ROW()))</f>
        <v/>
      </c>
      <c r="C1291" s="8" t="str" cm="1">
        <f t="array" aca="1" ref="C1291" ca="1">IF(INDIRECT("'Student_Record 1'!E" &amp; ROW())="", "", INDIRECT("'Student_Record 1'!E" &amp; ROW()))</f>
        <v/>
      </c>
      <c r="D1291" s="8" t="str" cm="1">
        <f t="array" aca="1" ref="D1291" ca="1">IF(INDIRECT("'Student_Record 1'!G" &amp; ROW())="", "", INDIRECT("'Student_Record 1'!G" &amp; ROW()))</f>
        <v/>
      </c>
      <c r="E1291" s="8" t="str" cm="1">
        <f t="array" aca="1" ref="E1291" ca="1">IF(INDIRECT("'Student_Record 1'!I" &amp; ROW())="", "", INDIRECT("'Student_Record 1'!I" &amp; ROW()))</f>
        <v/>
      </c>
      <c r="F1291" s="8" t="str" cm="1">
        <f t="array" aca="1" ref="F1291" ca="1">IF(INDIRECT("'Student_Record 1'!O" &amp; ROW())="", "", INDIRECT("'Student_Record 1'!O" &amp; ROW()))</f>
        <v/>
      </c>
    </row>
    <row r="1292" spans="1:6" x14ac:dyDescent="0.25">
      <c r="A1292" s="8" t="str" cm="1">
        <f t="array" aca="1" ref="A1292" ca="1">IF(INDIRECT("'Student_Record 1'!A" &amp; ROW())="", "", INDIRECT("'Student_Record 1'!A" &amp; ROW()))</f>
        <v/>
      </c>
      <c r="B1292" s="8" t="str" cm="1">
        <f t="array" aca="1" ref="B1292" ca="1">IF(INDIRECT("'Student_Record 1'!C" &amp; ROW())="", "", INDIRECT("'Student_Record 1'!C" &amp; ROW()))</f>
        <v/>
      </c>
      <c r="C1292" s="8" t="str" cm="1">
        <f t="array" aca="1" ref="C1292" ca="1">IF(INDIRECT("'Student_Record 1'!E" &amp; ROW())="", "", INDIRECT("'Student_Record 1'!E" &amp; ROW()))</f>
        <v/>
      </c>
      <c r="D1292" s="8" t="str" cm="1">
        <f t="array" aca="1" ref="D1292" ca="1">IF(INDIRECT("'Student_Record 1'!G" &amp; ROW())="", "", INDIRECT("'Student_Record 1'!G" &amp; ROW()))</f>
        <v/>
      </c>
      <c r="E1292" s="8" t="str" cm="1">
        <f t="array" aca="1" ref="E1292" ca="1">IF(INDIRECT("'Student_Record 1'!I" &amp; ROW())="", "", INDIRECT("'Student_Record 1'!I" &amp; ROW()))</f>
        <v/>
      </c>
      <c r="F1292" s="8" t="str" cm="1">
        <f t="array" aca="1" ref="F1292" ca="1">IF(INDIRECT("'Student_Record 1'!O" &amp; ROW())="", "", INDIRECT("'Student_Record 1'!O" &amp; ROW()))</f>
        <v/>
      </c>
    </row>
    <row r="1293" spans="1:6" x14ac:dyDescent="0.25">
      <c r="A1293" s="8" t="str" cm="1">
        <f t="array" aca="1" ref="A1293" ca="1">IF(INDIRECT("'Student_Record 1'!A" &amp; ROW())="", "", INDIRECT("'Student_Record 1'!A" &amp; ROW()))</f>
        <v/>
      </c>
      <c r="B1293" s="8" t="str" cm="1">
        <f t="array" aca="1" ref="B1293" ca="1">IF(INDIRECT("'Student_Record 1'!C" &amp; ROW())="", "", INDIRECT("'Student_Record 1'!C" &amp; ROW()))</f>
        <v/>
      </c>
      <c r="C1293" s="8" t="str" cm="1">
        <f t="array" aca="1" ref="C1293" ca="1">IF(INDIRECT("'Student_Record 1'!E" &amp; ROW())="", "", INDIRECT("'Student_Record 1'!E" &amp; ROW()))</f>
        <v/>
      </c>
      <c r="D1293" s="8" t="str" cm="1">
        <f t="array" aca="1" ref="D1293" ca="1">IF(INDIRECT("'Student_Record 1'!G" &amp; ROW())="", "", INDIRECT("'Student_Record 1'!G" &amp; ROW()))</f>
        <v/>
      </c>
      <c r="E1293" s="8" t="str" cm="1">
        <f t="array" aca="1" ref="E1293" ca="1">IF(INDIRECT("'Student_Record 1'!I" &amp; ROW())="", "", INDIRECT("'Student_Record 1'!I" &amp; ROW()))</f>
        <v/>
      </c>
      <c r="F1293" s="8" t="str" cm="1">
        <f t="array" aca="1" ref="F1293" ca="1">IF(INDIRECT("'Student_Record 1'!O" &amp; ROW())="", "", INDIRECT("'Student_Record 1'!O" &amp; ROW()))</f>
        <v/>
      </c>
    </row>
    <row r="1294" spans="1:6" x14ac:dyDescent="0.25">
      <c r="A1294" s="8" t="str" cm="1">
        <f t="array" aca="1" ref="A1294" ca="1">IF(INDIRECT("'Student_Record 1'!A" &amp; ROW())="", "", INDIRECT("'Student_Record 1'!A" &amp; ROW()))</f>
        <v/>
      </c>
      <c r="B1294" s="8" t="str" cm="1">
        <f t="array" aca="1" ref="B1294" ca="1">IF(INDIRECT("'Student_Record 1'!C" &amp; ROW())="", "", INDIRECT("'Student_Record 1'!C" &amp; ROW()))</f>
        <v/>
      </c>
      <c r="C1294" s="8" t="str" cm="1">
        <f t="array" aca="1" ref="C1294" ca="1">IF(INDIRECT("'Student_Record 1'!E" &amp; ROW())="", "", INDIRECT("'Student_Record 1'!E" &amp; ROW()))</f>
        <v/>
      </c>
      <c r="D1294" s="8" t="str" cm="1">
        <f t="array" aca="1" ref="D1294" ca="1">IF(INDIRECT("'Student_Record 1'!G" &amp; ROW())="", "", INDIRECT("'Student_Record 1'!G" &amp; ROW()))</f>
        <v/>
      </c>
      <c r="E1294" s="8" t="str" cm="1">
        <f t="array" aca="1" ref="E1294" ca="1">IF(INDIRECT("'Student_Record 1'!I" &amp; ROW())="", "", INDIRECT("'Student_Record 1'!I" &amp; ROW()))</f>
        <v/>
      </c>
      <c r="F1294" s="8" t="str" cm="1">
        <f t="array" aca="1" ref="F1294" ca="1">IF(INDIRECT("'Student_Record 1'!O" &amp; ROW())="", "", INDIRECT("'Student_Record 1'!O" &amp; ROW()))</f>
        <v/>
      </c>
    </row>
    <row r="1295" spans="1:6" x14ac:dyDescent="0.25">
      <c r="A1295" s="8" t="str" cm="1">
        <f t="array" aca="1" ref="A1295" ca="1">IF(INDIRECT("'Student_Record 1'!A" &amp; ROW())="", "", INDIRECT("'Student_Record 1'!A" &amp; ROW()))</f>
        <v/>
      </c>
      <c r="B1295" s="8" t="str" cm="1">
        <f t="array" aca="1" ref="B1295" ca="1">IF(INDIRECT("'Student_Record 1'!C" &amp; ROW())="", "", INDIRECT("'Student_Record 1'!C" &amp; ROW()))</f>
        <v/>
      </c>
      <c r="C1295" s="8" t="str" cm="1">
        <f t="array" aca="1" ref="C1295" ca="1">IF(INDIRECT("'Student_Record 1'!E" &amp; ROW())="", "", INDIRECT("'Student_Record 1'!E" &amp; ROW()))</f>
        <v/>
      </c>
      <c r="D1295" s="8" t="str" cm="1">
        <f t="array" aca="1" ref="D1295" ca="1">IF(INDIRECT("'Student_Record 1'!G" &amp; ROW())="", "", INDIRECT("'Student_Record 1'!G" &amp; ROW()))</f>
        <v/>
      </c>
      <c r="E1295" s="8" t="str" cm="1">
        <f t="array" aca="1" ref="E1295" ca="1">IF(INDIRECT("'Student_Record 1'!I" &amp; ROW())="", "", INDIRECT("'Student_Record 1'!I" &amp; ROW()))</f>
        <v/>
      </c>
      <c r="F1295" s="8" t="str" cm="1">
        <f t="array" aca="1" ref="F1295" ca="1">IF(INDIRECT("'Student_Record 1'!O" &amp; ROW())="", "", INDIRECT("'Student_Record 1'!O" &amp; ROW()))</f>
        <v/>
      </c>
    </row>
    <row r="1296" spans="1:6" x14ac:dyDescent="0.25">
      <c r="A1296" s="8" t="str" cm="1">
        <f t="array" aca="1" ref="A1296" ca="1">IF(INDIRECT("'Student_Record 1'!A" &amp; ROW())="", "", INDIRECT("'Student_Record 1'!A" &amp; ROW()))</f>
        <v/>
      </c>
      <c r="B1296" s="8" t="str" cm="1">
        <f t="array" aca="1" ref="B1296" ca="1">IF(INDIRECT("'Student_Record 1'!C" &amp; ROW())="", "", INDIRECT("'Student_Record 1'!C" &amp; ROW()))</f>
        <v/>
      </c>
      <c r="C1296" s="8" t="str" cm="1">
        <f t="array" aca="1" ref="C1296" ca="1">IF(INDIRECT("'Student_Record 1'!E" &amp; ROW())="", "", INDIRECT("'Student_Record 1'!E" &amp; ROW()))</f>
        <v/>
      </c>
      <c r="D1296" s="8" t="str" cm="1">
        <f t="array" aca="1" ref="D1296" ca="1">IF(INDIRECT("'Student_Record 1'!G" &amp; ROW())="", "", INDIRECT("'Student_Record 1'!G" &amp; ROW()))</f>
        <v/>
      </c>
      <c r="E1296" s="8" t="str" cm="1">
        <f t="array" aca="1" ref="E1296" ca="1">IF(INDIRECT("'Student_Record 1'!I" &amp; ROW())="", "", INDIRECT("'Student_Record 1'!I" &amp; ROW()))</f>
        <v/>
      </c>
      <c r="F1296" s="8" t="str" cm="1">
        <f t="array" aca="1" ref="F1296" ca="1">IF(INDIRECT("'Student_Record 1'!O" &amp; ROW())="", "", INDIRECT("'Student_Record 1'!O" &amp; ROW()))</f>
        <v/>
      </c>
    </row>
    <row r="1297" spans="1:6" x14ac:dyDescent="0.25">
      <c r="A1297" s="8" t="str" cm="1">
        <f t="array" aca="1" ref="A1297" ca="1">IF(INDIRECT("'Student_Record 1'!A" &amp; ROW())="", "", INDIRECT("'Student_Record 1'!A" &amp; ROW()))</f>
        <v/>
      </c>
      <c r="B1297" s="8" t="str" cm="1">
        <f t="array" aca="1" ref="B1297" ca="1">IF(INDIRECT("'Student_Record 1'!C" &amp; ROW())="", "", INDIRECT("'Student_Record 1'!C" &amp; ROW()))</f>
        <v/>
      </c>
      <c r="C1297" s="8" t="str" cm="1">
        <f t="array" aca="1" ref="C1297" ca="1">IF(INDIRECT("'Student_Record 1'!E" &amp; ROW())="", "", INDIRECT("'Student_Record 1'!E" &amp; ROW()))</f>
        <v/>
      </c>
      <c r="D1297" s="8" t="str" cm="1">
        <f t="array" aca="1" ref="D1297" ca="1">IF(INDIRECT("'Student_Record 1'!G" &amp; ROW())="", "", INDIRECT("'Student_Record 1'!G" &amp; ROW()))</f>
        <v/>
      </c>
      <c r="E1297" s="8" t="str" cm="1">
        <f t="array" aca="1" ref="E1297" ca="1">IF(INDIRECT("'Student_Record 1'!I" &amp; ROW())="", "", INDIRECT("'Student_Record 1'!I" &amp; ROW()))</f>
        <v/>
      </c>
      <c r="F1297" s="8" t="str" cm="1">
        <f t="array" aca="1" ref="F1297" ca="1">IF(INDIRECT("'Student_Record 1'!O" &amp; ROW())="", "", INDIRECT("'Student_Record 1'!O" &amp; ROW()))</f>
        <v/>
      </c>
    </row>
    <row r="1298" spans="1:6" x14ac:dyDescent="0.25">
      <c r="A1298" s="8" t="str" cm="1">
        <f t="array" aca="1" ref="A1298" ca="1">IF(INDIRECT("'Student_Record 1'!A" &amp; ROW())="", "", INDIRECT("'Student_Record 1'!A" &amp; ROW()))</f>
        <v/>
      </c>
      <c r="B1298" s="8" t="str" cm="1">
        <f t="array" aca="1" ref="B1298" ca="1">IF(INDIRECT("'Student_Record 1'!C" &amp; ROW())="", "", INDIRECT("'Student_Record 1'!C" &amp; ROW()))</f>
        <v/>
      </c>
      <c r="C1298" s="8" t="str" cm="1">
        <f t="array" aca="1" ref="C1298" ca="1">IF(INDIRECT("'Student_Record 1'!E" &amp; ROW())="", "", INDIRECT("'Student_Record 1'!E" &amp; ROW()))</f>
        <v/>
      </c>
      <c r="D1298" s="8" t="str" cm="1">
        <f t="array" aca="1" ref="D1298" ca="1">IF(INDIRECT("'Student_Record 1'!G" &amp; ROW())="", "", INDIRECT("'Student_Record 1'!G" &amp; ROW()))</f>
        <v/>
      </c>
      <c r="E1298" s="8" t="str" cm="1">
        <f t="array" aca="1" ref="E1298" ca="1">IF(INDIRECT("'Student_Record 1'!I" &amp; ROW())="", "", INDIRECT("'Student_Record 1'!I" &amp; ROW()))</f>
        <v/>
      </c>
      <c r="F1298" s="8" t="str" cm="1">
        <f t="array" aca="1" ref="F1298" ca="1">IF(INDIRECT("'Student_Record 1'!O" &amp; ROW())="", "", INDIRECT("'Student_Record 1'!O" &amp; ROW()))</f>
        <v/>
      </c>
    </row>
    <row r="1299" spans="1:6" x14ac:dyDescent="0.25">
      <c r="A1299" s="8" t="str" cm="1">
        <f t="array" aca="1" ref="A1299" ca="1">IF(INDIRECT("'Student_Record 1'!A" &amp; ROW())="", "", INDIRECT("'Student_Record 1'!A" &amp; ROW()))</f>
        <v/>
      </c>
      <c r="B1299" s="8" t="str" cm="1">
        <f t="array" aca="1" ref="B1299" ca="1">IF(INDIRECT("'Student_Record 1'!C" &amp; ROW())="", "", INDIRECT("'Student_Record 1'!C" &amp; ROW()))</f>
        <v/>
      </c>
      <c r="C1299" s="8" t="str" cm="1">
        <f t="array" aca="1" ref="C1299" ca="1">IF(INDIRECT("'Student_Record 1'!E" &amp; ROW())="", "", INDIRECT("'Student_Record 1'!E" &amp; ROW()))</f>
        <v/>
      </c>
      <c r="D1299" s="8" t="str" cm="1">
        <f t="array" aca="1" ref="D1299" ca="1">IF(INDIRECT("'Student_Record 1'!G" &amp; ROW())="", "", INDIRECT("'Student_Record 1'!G" &amp; ROW()))</f>
        <v/>
      </c>
      <c r="E1299" s="8" t="str" cm="1">
        <f t="array" aca="1" ref="E1299" ca="1">IF(INDIRECT("'Student_Record 1'!I" &amp; ROW())="", "", INDIRECT("'Student_Record 1'!I" &amp; ROW()))</f>
        <v/>
      </c>
      <c r="F1299" s="8" t="str" cm="1">
        <f t="array" aca="1" ref="F1299" ca="1">IF(INDIRECT("'Student_Record 1'!O" &amp; ROW())="", "", INDIRECT("'Student_Record 1'!O" &amp; ROW()))</f>
        <v/>
      </c>
    </row>
    <row r="1300" spans="1:6" x14ac:dyDescent="0.25">
      <c r="A1300" s="8" t="str" cm="1">
        <f t="array" aca="1" ref="A1300" ca="1">IF(INDIRECT("'Student_Record 1'!A" &amp; ROW())="", "", INDIRECT("'Student_Record 1'!A" &amp; ROW()))</f>
        <v/>
      </c>
      <c r="B1300" s="8" t="str" cm="1">
        <f t="array" aca="1" ref="B1300" ca="1">IF(INDIRECT("'Student_Record 1'!C" &amp; ROW())="", "", INDIRECT("'Student_Record 1'!C" &amp; ROW()))</f>
        <v/>
      </c>
      <c r="C1300" s="8" t="str" cm="1">
        <f t="array" aca="1" ref="C1300" ca="1">IF(INDIRECT("'Student_Record 1'!E" &amp; ROW())="", "", INDIRECT("'Student_Record 1'!E" &amp; ROW()))</f>
        <v/>
      </c>
      <c r="D1300" s="8" t="str" cm="1">
        <f t="array" aca="1" ref="D1300" ca="1">IF(INDIRECT("'Student_Record 1'!G" &amp; ROW())="", "", INDIRECT("'Student_Record 1'!G" &amp; ROW()))</f>
        <v/>
      </c>
      <c r="E1300" s="8" t="str" cm="1">
        <f t="array" aca="1" ref="E1300" ca="1">IF(INDIRECT("'Student_Record 1'!I" &amp; ROW())="", "", INDIRECT("'Student_Record 1'!I" &amp; ROW()))</f>
        <v/>
      </c>
      <c r="F1300" s="8" t="str" cm="1">
        <f t="array" aca="1" ref="F1300" ca="1">IF(INDIRECT("'Student_Record 1'!O" &amp; ROW())="", "", INDIRECT("'Student_Record 1'!O" &amp; ROW()))</f>
        <v/>
      </c>
    </row>
    <row r="1301" spans="1:6" x14ac:dyDescent="0.25">
      <c r="A1301" s="8" t="str" cm="1">
        <f t="array" aca="1" ref="A1301" ca="1">IF(INDIRECT("'Student_Record 1'!A" &amp; ROW())="", "", INDIRECT("'Student_Record 1'!A" &amp; ROW()))</f>
        <v/>
      </c>
      <c r="B1301" s="8" t="str" cm="1">
        <f t="array" aca="1" ref="B1301" ca="1">IF(INDIRECT("'Student_Record 1'!C" &amp; ROW())="", "", INDIRECT("'Student_Record 1'!C" &amp; ROW()))</f>
        <v/>
      </c>
      <c r="C1301" s="8" t="str" cm="1">
        <f t="array" aca="1" ref="C1301" ca="1">IF(INDIRECT("'Student_Record 1'!E" &amp; ROW())="", "", INDIRECT("'Student_Record 1'!E" &amp; ROW()))</f>
        <v/>
      </c>
      <c r="D1301" s="8" t="str" cm="1">
        <f t="array" aca="1" ref="D1301" ca="1">IF(INDIRECT("'Student_Record 1'!G" &amp; ROW())="", "", INDIRECT("'Student_Record 1'!G" &amp; ROW()))</f>
        <v/>
      </c>
      <c r="E1301" s="8" t="str" cm="1">
        <f t="array" aca="1" ref="E1301" ca="1">IF(INDIRECT("'Student_Record 1'!I" &amp; ROW())="", "", INDIRECT("'Student_Record 1'!I" &amp; ROW()))</f>
        <v/>
      </c>
      <c r="F1301" s="8" t="str" cm="1">
        <f t="array" aca="1" ref="F1301" ca="1">IF(INDIRECT("'Student_Record 1'!O" &amp; ROW())="", "", INDIRECT("'Student_Record 1'!O" &amp; ROW()))</f>
        <v/>
      </c>
    </row>
    <row r="1302" spans="1:6" x14ac:dyDescent="0.25">
      <c r="A1302" s="8" t="str" cm="1">
        <f t="array" aca="1" ref="A1302" ca="1">IF(INDIRECT("'Student_Record 1'!A" &amp; ROW())="", "", INDIRECT("'Student_Record 1'!A" &amp; ROW()))</f>
        <v/>
      </c>
      <c r="B1302" s="8" t="str" cm="1">
        <f t="array" aca="1" ref="B1302" ca="1">IF(INDIRECT("'Student_Record 1'!C" &amp; ROW())="", "", INDIRECT("'Student_Record 1'!C" &amp; ROW()))</f>
        <v/>
      </c>
      <c r="C1302" s="8" t="str" cm="1">
        <f t="array" aca="1" ref="C1302" ca="1">IF(INDIRECT("'Student_Record 1'!E" &amp; ROW())="", "", INDIRECT("'Student_Record 1'!E" &amp; ROW()))</f>
        <v/>
      </c>
      <c r="D1302" s="8" t="str" cm="1">
        <f t="array" aca="1" ref="D1302" ca="1">IF(INDIRECT("'Student_Record 1'!G" &amp; ROW())="", "", INDIRECT("'Student_Record 1'!G" &amp; ROW()))</f>
        <v/>
      </c>
      <c r="E1302" s="8" t="str" cm="1">
        <f t="array" aca="1" ref="E1302" ca="1">IF(INDIRECT("'Student_Record 1'!I" &amp; ROW())="", "", INDIRECT("'Student_Record 1'!I" &amp; ROW()))</f>
        <v/>
      </c>
      <c r="F1302" s="8" t="str" cm="1">
        <f t="array" aca="1" ref="F1302" ca="1">IF(INDIRECT("'Student_Record 1'!O" &amp; ROW())="", "", INDIRECT("'Student_Record 1'!O" &amp; ROW()))</f>
        <v/>
      </c>
    </row>
    <row r="1303" spans="1:6" x14ac:dyDescent="0.25">
      <c r="A1303" s="8" t="str" cm="1">
        <f t="array" aca="1" ref="A1303" ca="1">IF(INDIRECT("'Student_Record 1'!A" &amp; ROW())="", "", INDIRECT("'Student_Record 1'!A" &amp; ROW()))</f>
        <v/>
      </c>
      <c r="B1303" s="8" t="str" cm="1">
        <f t="array" aca="1" ref="B1303" ca="1">IF(INDIRECT("'Student_Record 1'!C" &amp; ROW())="", "", INDIRECT("'Student_Record 1'!C" &amp; ROW()))</f>
        <v/>
      </c>
      <c r="C1303" s="8" t="str" cm="1">
        <f t="array" aca="1" ref="C1303" ca="1">IF(INDIRECT("'Student_Record 1'!E" &amp; ROW())="", "", INDIRECT("'Student_Record 1'!E" &amp; ROW()))</f>
        <v/>
      </c>
      <c r="D1303" s="8" t="str" cm="1">
        <f t="array" aca="1" ref="D1303" ca="1">IF(INDIRECT("'Student_Record 1'!G" &amp; ROW())="", "", INDIRECT("'Student_Record 1'!G" &amp; ROW()))</f>
        <v/>
      </c>
      <c r="E1303" s="8" t="str" cm="1">
        <f t="array" aca="1" ref="E1303" ca="1">IF(INDIRECT("'Student_Record 1'!I" &amp; ROW())="", "", INDIRECT("'Student_Record 1'!I" &amp; ROW()))</f>
        <v/>
      </c>
      <c r="F1303" s="8" t="str" cm="1">
        <f t="array" aca="1" ref="F1303" ca="1">IF(INDIRECT("'Student_Record 1'!O" &amp; ROW())="", "", INDIRECT("'Student_Record 1'!O" &amp; ROW()))</f>
        <v/>
      </c>
    </row>
    <row r="1304" spans="1:6" x14ac:dyDescent="0.25">
      <c r="A1304" s="8" t="str" cm="1">
        <f t="array" aca="1" ref="A1304" ca="1">IF(INDIRECT("'Student_Record 1'!A" &amp; ROW())="", "", INDIRECT("'Student_Record 1'!A" &amp; ROW()))</f>
        <v/>
      </c>
      <c r="B1304" s="8" t="str" cm="1">
        <f t="array" aca="1" ref="B1304" ca="1">IF(INDIRECT("'Student_Record 1'!C" &amp; ROW())="", "", INDIRECT("'Student_Record 1'!C" &amp; ROW()))</f>
        <v/>
      </c>
      <c r="C1304" s="8" t="str" cm="1">
        <f t="array" aca="1" ref="C1304" ca="1">IF(INDIRECT("'Student_Record 1'!E" &amp; ROW())="", "", INDIRECT("'Student_Record 1'!E" &amp; ROW()))</f>
        <v/>
      </c>
      <c r="D1304" s="8" t="str" cm="1">
        <f t="array" aca="1" ref="D1304" ca="1">IF(INDIRECT("'Student_Record 1'!G" &amp; ROW())="", "", INDIRECT("'Student_Record 1'!G" &amp; ROW()))</f>
        <v/>
      </c>
      <c r="E1304" s="8" t="str" cm="1">
        <f t="array" aca="1" ref="E1304" ca="1">IF(INDIRECT("'Student_Record 1'!I" &amp; ROW())="", "", INDIRECT("'Student_Record 1'!I" &amp; ROW()))</f>
        <v/>
      </c>
      <c r="F1304" s="8" t="str" cm="1">
        <f t="array" aca="1" ref="F1304" ca="1">IF(INDIRECT("'Student_Record 1'!O" &amp; ROW())="", "", INDIRECT("'Student_Record 1'!O" &amp; ROW()))</f>
        <v/>
      </c>
    </row>
    <row r="1305" spans="1:6" x14ac:dyDescent="0.25">
      <c r="A1305" s="8" t="str" cm="1">
        <f t="array" aca="1" ref="A1305" ca="1">IF(INDIRECT("'Student_Record 1'!A" &amp; ROW())="", "", INDIRECT("'Student_Record 1'!A" &amp; ROW()))</f>
        <v/>
      </c>
      <c r="B1305" s="8" t="str" cm="1">
        <f t="array" aca="1" ref="B1305" ca="1">IF(INDIRECT("'Student_Record 1'!C" &amp; ROW())="", "", INDIRECT("'Student_Record 1'!C" &amp; ROW()))</f>
        <v/>
      </c>
      <c r="C1305" s="8" t="str" cm="1">
        <f t="array" aca="1" ref="C1305" ca="1">IF(INDIRECT("'Student_Record 1'!E" &amp; ROW())="", "", INDIRECT("'Student_Record 1'!E" &amp; ROW()))</f>
        <v/>
      </c>
      <c r="D1305" s="8" t="str" cm="1">
        <f t="array" aca="1" ref="D1305" ca="1">IF(INDIRECT("'Student_Record 1'!G" &amp; ROW())="", "", INDIRECT("'Student_Record 1'!G" &amp; ROW()))</f>
        <v/>
      </c>
      <c r="E1305" s="8" t="str" cm="1">
        <f t="array" aca="1" ref="E1305" ca="1">IF(INDIRECT("'Student_Record 1'!I" &amp; ROW())="", "", INDIRECT("'Student_Record 1'!I" &amp; ROW()))</f>
        <v/>
      </c>
      <c r="F1305" s="8" t="str" cm="1">
        <f t="array" aca="1" ref="F1305" ca="1">IF(INDIRECT("'Student_Record 1'!O" &amp; ROW())="", "", INDIRECT("'Student_Record 1'!O" &amp; ROW()))</f>
        <v/>
      </c>
    </row>
    <row r="1306" spans="1:6" x14ac:dyDescent="0.25">
      <c r="A1306" s="8" t="str" cm="1">
        <f t="array" aca="1" ref="A1306" ca="1">IF(INDIRECT("'Student_Record 1'!A" &amp; ROW())="", "", INDIRECT("'Student_Record 1'!A" &amp; ROW()))</f>
        <v/>
      </c>
      <c r="B1306" s="8" t="str" cm="1">
        <f t="array" aca="1" ref="B1306" ca="1">IF(INDIRECT("'Student_Record 1'!C" &amp; ROW())="", "", INDIRECT("'Student_Record 1'!C" &amp; ROW()))</f>
        <v/>
      </c>
      <c r="C1306" s="8" t="str" cm="1">
        <f t="array" aca="1" ref="C1306" ca="1">IF(INDIRECT("'Student_Record 1'!E" &amp; ROW())="", "", INDIRECT("'Student_Record 1'!E" &amp; ROW()))</f>
        <v/>
      </c>
      <c r="D1306" s="8" t="str" cm="1">
        <f t="array" aca="1" ref="D1306" ca="1">IF(INDIRECT("'Student_Record 1'!G" &amp; ROW())="", "", INDIRECT("'Student_Record 1'!G" &amp; ROW()))</f>
        <v/>
      </c>
      <c r="E1306" s="8" t="str" cm="1">
        <f t="array" aca="1" ref="E1306" ca="1">IF(INDIRECT("'Student_Record 1'!I" &amp; ROW())="", "", INDIRECT("'Student_Record 1'!I" &amp; ROW()))</f>
        <v/>
      </c>
      <c r="F1306" s="8" t="str" cm="1">
        <f t="array" aca="1" ref="F1306" ca="1">IF(INDIRECT("'Student_Record 1'!O" &amp; ROW())="", "", INDIRECT("'Student_Record 1'!O" &amp; ROW()))</f>
        <v/>
      </c>
    </row>
    <row r="1307" spans="1:6" x14ac:dyDescent="0.25">
      <c r="A1307" s="8" t="str" cm="1">
        <f t="array" aca="1" ref="A1307" ca="1">IF(INDIRECT("'Student_Record 1'!A" &amp; ROW())="", "", INDIRECT("'Student_Record 1'!A" &amp; ROW()))</f>
        <v/>
      </c>
      <c r="B1307" s="8" t="str" cm="1">
        <f t="array" aca="1" ref="B1307" ca="1">IF(INDIRECT("'Student_Record 1'!C" &amp; ROW())="", "", INDIRECT("'Student_Record 1'!C" &amp; ROW()))</f>
        <v/>
      </c>
      <c r="C1307" s="8" t="str" cm="1">
        <f t="array" aca="1" ref="C1307" ca="1">IF(INDIRECT("'Student_Record 1'!E" &amp; ROW())="", "", INDIRECT("'Student_Record 1'!E" &amp; ROW()))</f>
        <v/>
      </c>
      <c r="D1307" s="8" t="str" cm="1">
        <f t="array" aca="1" ref="D1307" ca="1">IF(INDIRECT("'Student_Record 1'!G" &amp; ROW())="", "", INDIRECT("'Student_Record 1'!G" &amp; ROW()))</f>
        <v/>
      </c>
      <c r="E1307" s="8" t="str" cm="1">
        <f t="array" aca="1" ref="E1307" ca="1">IF(INDIRECT("'Student_Record 1'!I" &amp; ROW())="", "", INDIRECT("'Student_Record 1'!I" &amp; ROW()))</f>
        <v/>
      </c>
      <c r="F1307" s="8" t="str" cm="1">
        <f t="array" aca="1" ref="F1307" ca="1">IF(INDIRECT("'Student_Record 1'!O" &amp; ROW())="", "", INDIRECT("'Student_Record 1'!O" &amp; ROW()))</f>
        <v/>
      </c>
    </row>
    <row r="1308" spans="1:6" x14ac:dyDescent="0.25">
      <c r="A1308" s="8" t="str" cm="1">
        <f t="array" aca="1" ref="A1308" ca="1">IF(INDIRECT("'Student_Record 1'!A" &amp; ROW())="", "", INDIRECT("'Student_Record 1'!A" &amp; ROW()))</f>
        <v/>
      </c>
      <c r="B1308" s="8" t="str" cm="1">
        <f t="array" aca="1" ref="B1308" ca="1">IF(INDIRECT("'Student_Record 1'!C" &amp; ROW())="", "", INDIRECT("'Student_Record 1'!C" &amp; ROW()))</f>
        <v/>
      </c>
      <c r="C1308" s="8" t="str" cm="1">
        <f t="array" aca="1" ref="C1308" ca="1">IF(INDIRECT("'Student_Record 1'!E" &amp; ROW())="", "", INDIRECT("'Student_Record 1'!E" &amp; ROW()))</f>
        <v/>
      </c>
      <c r="D1308" s="8" t="str" cm="1">
        <f t="array" aca="1" ref="D1308" ca="1">IF(INDIRECT("'Student_Record 1'!G" &amp; ROW())="", "", INDIRECT("'Student_Record 1'!G" &amp; ROW()))</f>
        <v/>
      </c>
      <c r="E1308" s="8" t="str" cm="1">
        <f t="array" aca="1" ref="E1308" ca="1">IF(INDIRECT("'Student_Record 1'!I" &amp; ROW())="", "", INDIRECT("'Student_Record 1'!I" &amp; ROW()))</f>
        <v/>
      </c>
      <c r="F1308" s="8" t="str" cm="1">
        <f t="array" aca="1" ref="F1308" ca="1">IF(INDIRECT("'Student_Record 1'!O" &amp; ROW())="", "", INDIRECT("'Student_Record 1'!O" &amp; ROW()))</f>
        <v/>
      </c>
    </row>
    <row r="1309" spans="1:6" x14ac:dyDescent="0.25">
      <c r="A1309" s="8" t="str" cm="1">
        <f t="array" aca="1" ref="A1309" ca="1">IF(INDIRECT("'Student_Record 1'!A" &amp; ROW())="", "", INDIRECT("'Student_Record 1'!A" &amp; ROW()))</f>
        <v/>
      </c>
      <c r="B1309" s="8" t="str" cm="1">
        <f t="array" aca="1" ref="B1309" ca="1">IF(INDIRECT("'Student_Record 1'!C" &amp; ROW())="", "", INDIRECT("'Student_Record 1'!C" &amp; ROW()))</f>
        <v/>
      </c>
      <c r="C1309" s="8" t="str" cm="1">
        <f t="array" aca="1" ref="C1309" ca="1">IF(INDIRECT("'Student_Record 1'!E" &amp; ROW())="", "", INDIRECT("'Student_Record 1'!E" &amp; ROW()))</f>
        <v/>
      </c>
      <c r="D1309" s="8" t="str" cm="1">
        <f t="array" aca="1" ref="D1309" ca="1">IF(INDIRECT("'Student_Record 1'!G" &amp; ROW())="", "", INDIRECT("'Student_Record 1'!G" &amp; ROW()))</f>
        <v/>
      </c>
      <c r="E1309" s="8" t="str" cm="1">
        <f t="array" aca="1" ref="E1309" ca="1">IF(INDIRECT("'Student_Record 1'!I" &amp; ROW())="", "", INDIRECT("'Student_Record 1'!I" &amp; ROW()))</f>
        <v/>
      </c>
      <c r="F1309" s="8" t="str" cm="1">
        <f t="array" aca="1" ref="F1309" ca="1">IF(INDIRECT("'Student_Record 1'!O" &amp; ROW())="", "", INDIRECT("'Student_Record 1'!O" &amp; ROW()))</f>
        <v/>
      </c>
    </row>
    <row r="1310" spans="1:6" x14ac:dyDescent="0.25">
      <c r="A1310" s="8" t="str" cm="1">
        <f t="array" aca="1" ref="A1310" ca="1">IF(INDIRECT("'Student_Record 1'!A" &amp; ROW())="", "", INDIRECT("'Student_Record 1'!A" &amp; ROW()))</f>
        <v/>
      </c>
      <c r="B1310" s="8" t="str" cm="1">
        <f t="array" aca="1" ref="B1310" ca="1">IF(INDIRECT("'Student_Record 1'!C" &amp; ROW())="", "", INDIRECT("'Student_Record 1'!C" &amp; ROW()))</f>
        <v/>
      </c>
      <c r="C1310" s="8" t="str" cm="1">
        <f t="array" aca="1" ref="C1310" ca="1">IF(INDIRECT("'Student_Record 1'!E" &amp; ROW())="", "", INDIRECT("'Student_Record 1'!E" &amp; ROW()))</f>
        <v/>
      </c>
      <c r="D1310" s="8" t="str" cm="1">
        <f t="array" aca="1" ref="D1310" ca="1">IF(INDIRECT("'Student_Record 1'!G" &amp; ROW())="", "", INDIRECT("'Student_Record 1'!G" &amp; ROW()))</f>
        <v/>
      </c>
      <c r="E1310" s="8" t="str" cm="1">
        <f t="array" aca="1" ref="E1310" ca="1">IF(INDIRECT("'Student_Record 1'!I" &amp; ROW())="", "", INDIRECT("'Student_Record 1'!I" &amp; ROW()))</f>
        <v/>
      </c>
      <c r="F1310" s="8" t="str" cm="1">
        <f t="array" aca="1" ref="F1310" ca="1">IF(INDIRECT("'Student_Record 1'!O" &amp; ROW())="", "", INDIRECT("'Student_Record 1'!O" &amp; ROW()))</f>
        <v/>
      </c>
    </row>
    <row r="1311" spans="1:6" x14ac:dyDescent="0.25">
      <c r="A1311" s="8" t="str" cm="1">
        <f t="array" aca="1" ref="A1311" ca="1">IF(INDIRECT("'Student_Record 1'!A" &amp; ROW())="", "", INDIRECT("'Student_Record 1'!A" &amp; ROW()))</f>
        <v/>
      </c>
      <c r="B1311" s="8" t="str" cm="1">
        <f t="array" aca="1" ref="B1311" ca="1">IF(INDIRECT("'Student_Record 1'!C" &amp; ROW())="", "", INDIRECT("'Student_Record 1'!C" &amp; ROW()))</f>
        <v/>
      </c>
      <c r="C1311" s="8" t="str" cm="1">
        <f t="array" aca="1" ref="C1311" ca="1">IF(INDIRECT("'Student_Record 1'!E" &amp; ROW())="", "", INDIRECT("'Student_Record 1'!E" &amp; ROW()))</f>
        <v/>
      </c>
      <c r="D1311" s="8" t="str" cm="1">
        <f t="array" aca="1" ref="D1311" ca="1">IF(INDIRECT("'Student_Record 1'!G" &amp; ROW())="", "", INDIRECT("'Student_Record 1'!G" &amp; ROW()))</f>
        <v/>
      </c>
      <c r="E1311" s="8" t="str" cm="1">
        <f t="array" aca="1" ref="E1311" ca="1">IF(INDIRECT("'Student_Record 1'!I" &amp; ROW())="", "", INDIRECT("'Student_Record 1'!I" &amp; ROW()))</f>
        <v/>
      </c>
      <c r="F1311" s="8" t="str" cm="1">
        <f t="array" aca="1" ref="F1311" ca="1">IF(INDIRECT("'Student_Record 1'!O" &amp; ROW())="", "", INDIRECT("'Student_Record 1'!O" &amp; ROW()))</f>
        <v/>
      </c>
    </row>
    <row r="1312" spans="1:6" x14ac:dyDescent="0.25">
      <c r="A1312" s="8" t="str" cm="1">
        <f t="array" aca="1" ref="A1312" ca="1">IF(INDIRECT("'Student_Record 1'!A" &amp; ROW())="", "", INDIRECT("'Student_Record 1'!A" &amp; ROW()))</f>
        <v/>
      </c>
      <c r="B1312" s="8" t="str" cm="1">
        <f t="array" aca="1" ref="B1312" ca="1">IF(INDIRECT("'Student_Record 1'!C" &amp; ROW())="", "", INDIRECT("'Student_Record 1'!C" &amp; ROW()))</f>
        <v/>
      </c>
      <c r="C1312" s="8" t="str" cm="1">
        <f t="array" aca="1" ref="C1312" ca="1">IF(INDIRECT("'Student_Record 1'!E" &amp; ROW())="", "", INDIRECT("'Student_Record 1'!E" &amp; ROW()))</f>
        <v/>
      </c>
      <c r="D1312" s="8" t="str" cm="1">
        <f t="array" aca="1" ref="D1312" ca="1">IF(INDIRECT("'Student_Record 1'!G" &amp; ROW())="", "", INDIRECT("'Student_Record 1'!G" &amp; ROW()))</f>
        <v/>
      </c>
      <c r="E1312" s="8" t="str" cm="1">
        <f t="array" aca="1" ref="E1312" ca="1">IF(INDIRECT("'Student_Record 1'!I" &amp; ROW())="", "", INDIRECT("'Student_Record 1'!I" &amp; ROW()))</f>
        <v/>
      </c>
      <c r="F1312" s="8" t="str" cm="1">
        <f t="array" aca="1" ref="F1312" ca="1">IF(INDIRECT("'Student_Record 1'!O" &amp; ROW())="", "", INDIRECT("'Student_Record 1'!O" &amp; ROW()))</f>
        <v/>
      </c>
    </row>
    <row r="1313" spans="1:6" x14ac:dyDescent="0.25">
      <c r="A1313" s="8" t="str" cm="1">
        <f t="array" aca="1" ref="A1313" ca="1">IF(INDIRECT("'Student_Record 1'!A" &amp; ROW())="", "", INDIRECT("'Student_Record 1'!A" &amp; ROW()))</f>
        <v/>
      </c>
      <c r="B1313" s="8" t="str" cm="1">
        <f t="array" aca="1" ref="B1313" ca="1">IF(INDIRECT("'Student_Record 1'!C" &amp; ROW())="", "", INDIRECT("'Student_Record 1'!C" &amp; ROW()))</f>
        <v/>
      </c>
      <c r="C1313" s="8" t="str" cm="1">
        <f t="array" aca="1" ref="C1313" ca="1">IF(INDIRECT("'Student_Record 1'!E" &amp; ROW())="", "", INDIRECT("'Student_Record 1'!E" &amp; ROW()))</f>
        <v/>
      </c>
      <c r="D1313" s="8" t="str" cm="1">
        <f t="array" aca="1" ref="D1313" ca="1">IF(INDIRECT("'Student_Record 1'!G" &amp; ROW())="", "", INDIRECT("'Student_Record 1'!G" &amp; ROW()))</f>
        <v/>
      </c>
      <c r="E1313" s="8" t="str" cm="1">
        <f t="array" aca="1" ref="E1313" ca="1">IF(INDIRECT("'Student_Record 1'!I" &amp; ROW())="", "", INDIRECT("'Student_Record 1'!I" &amp; ROW()))</f>
        <v/>
      </c>
      <c r="F1313" s="8" t="str" cm="1">
        <f t="array" aca="1" ref="F1313" ca="1">IF(INDIRECT("'Student_Record 1'!O" &amp; ROW())="", "", INDIRECT("'Student_Record 1'!O" &amp; ROW()))</f>
        <v/>
      </c>
    </row>
    <row r="1314" spans="1:6" x14ac:dyDescent="0.25">
      <c r="A1314" s="8" t="str" cm="1">
        <f t="array" aca="1" ref="A1314" ca="1">IF(INDIRECT("'Student_Record 1'!A" &amp; ROW())="", "", INDIRECT("'Student_Record 1'!A" &amp; ROW()))</f>
        <v/>
      </c>
      <c r="B1314" s="8" t="str" cm="1">
        <f t="array" aca="1" ref="B1314" ca="1">IF(INDIRECT("'Student_Record 1'!C" &amp; ROW())="", "", INDIRECT("'Student_Record 1'!C" &amp; ROW()))</f>
        <v/>
      </c>
      <c r="C1314" s="8" t="str" cm="1">
        <f t="array" aca="1" ref="C1314" ca="1">IF(INDIRECT("'Student_Record 1'!E" &amp; ROW())="", "", INDIRECT("'Student_Record 1'!E" &amp; ROW()))</f>
        <v/>
      </c>
      <c r="D1314" s="8" t="str" cm="1">
        <f t="array" aca="1" ref="D1314" ca="1">IF(INDIRECT("'Student_Record 1'!G" &amp; ROW())="", "", INDIRECT("'Student_Record 1'!G" &amp; ROW()))</f>
        <v/>
      </c>
      <c r="E1314" s="8" t="str" cm="1">
        <f t="array" aca="1" ref="E1314" ca="1">IF(INDIRECT("'Student_Record 1'!I" &amp; ROW())="", "", INDIRECT("'Student_Record 1'!I" &amp; ROW()))</f>
        <v/>
      </c>
      <c r="F1314" s="8" t="str" cm="1">
        <f t="array" aca="1" ref="F1314" ca="1">IF(INDIRECT("'Student_Record 1'!O" &amp; ROW())="", "", INDIRECT("'Student_Record 1'!O" &amp; ROW()))</f>
        <v/>
      </c>
    </row>
    <row r="1315" spans="1:6" x14ac:dyDescent="0.25">
      <c r="A1315" s="8" t="str" cm="1">
        <f t="array" aca="1" ref="A1315" ca="1">IF(INDIRECT("'Student_Record 1'!A" &amp; ROW())="", "", INDIRECT("'Student_Record 1'!A" &amp; ROW()))</f>
        <v/>
      </c>
      <c r="B1315" s="8" t="str" cm="1">
        <f t="array" aca="1" ref="B1315" ca="1">IF(INDIRECT("'Student_Record 1'!C" &amp; ROW())="", "", INDIRECT("'Student_Record 1'!C" &amp; ROW()))</f>
        <v/>
      </c>
      <c r="C1315" s="8" t="str" cm="1">
        <f t="array" aca="1" ref="C1315" ca="1">IF(INDIRECT("'Student_Record 1'!E" &amp; ROW())="", "", INDIRECT("'Student_Record 1'!E" &amp; ROW()))</f>
        <v/>
      </c>
      <c r="D1315" s="8" t="str" cm="1">
        <f t="array" aca="1" ref="D1315" ca="1">IF(INDIRECT("'Student_Record 1'!G" &amp; ROW())="", "", INDIRECT("'Student_Record 1'!G" &amp; ROW()))</f>
        <v/>
      </c>
      <c r="E1315" s="8" t="str" cm="1">
        <f t="array" aca="1" ref="E1315" ca="1">IF(INDIRECT("'Student_Record 1'!I" &amp; ROW())="", "", INDIRECT("'Student_Record 1'!I" &amp; ROW()))</f>
        <v/>
      </c>
      <c r="F1315" s="8" t="str" cm="1">
        <f t="array" aca="1" ref="F1315" ca="1">IF(INDIRECT("'Student_Record 1'!O" &amp; ROW())="", "", INDIRECT("'Student_Record 1'!O" &amp; ROW()))</f>
        <v/>
      </c>
    </row>
    <row r="1316" spans="1:6" x14ac:dyDescent="0.25">
      <c r="A1316" s="8" t="str" cm="1">
        <f t="array" aca="1" ref="A1316" ca="1">IF(INDIRECT("'Student_Record 1'!A" &amp; ROW())="", "", INDIRECT("'Student_Record 1'!A" &amp; ROW()))</f>
        <v/>
      </c>
      <c r="B1316" s="8" t="str" cm="1">
        <f t="array" aca="1" ref="B1316" ca="1">IF(INDIRECT("'Student_Record 1'!C" &amp; ROW())="", "", INDIRECT("'Student_Record 1'!C" &amp; ROW()))</f>
        <v/>
      </c>
      <c r="C1316" s="8" t="str" cm="1">
        <f t="array" aca="1" ref="C1316" ca="1">IF(INDIRECT("'Student_Record 1'!E" &amp; ROW())="", "", INDIRECT("'Student_Record 1'!E" &amp; ROW()))</f>
        <v/>
      </c>
      <c r="D1316" s="8" t="str" cm="1">
        <f t="array" aca="1" ref="D1316" ca="1">IF(INDIRECT("'Student_Record 1'!G" &amp; ROW())="", "", INDIRECT("'Student_Record 1'!G" &amp; ROW()))</f>
        <v/>
      </c>
      <c r="E1316" s="8" t="str" cm="1">
        <f t="array" aca="1" ref="E1316" ca="1">IF(INDIRECT("'Student_Record 1'!I" &amp; ROW())="", "", INDIRECT("'Student_Record 1'!I" &amp; ROW()))</f>
        <v/>
      </c>
      <c r="F1316" s="8" t="str" cm="1">
        <f t="array" aca="1" ref="F1316" ca="1">IF(INDIRECT("'Student_Record 1'!O" &amp; ROW())="", "", INDIRECT("'Student_Record 1'!O" &amp; ROW()))</f>
        <v/>
      </c>
    </row>
    <row r="1317" spans="1:6" x14ac:dyDescent="0.25">
      <c r="A1317" s="8" t="str" cm="1">
        <f t="array" aca="1" ref="A1317" ca="1">IF(INDIRECT("'Student_Record 1'!A" &amp; ROW())="", "", INDIRECT("'Student_Record 1'!A" &amp; ROW()))</f>
        <v/>
      </c>
      <c r="B1317" s="8" t="str" cm="1">
        <f t="array" aca="1" ref="B1317" ca="1">IF(INDIRECT("'Student_Record 1'!C" &amp; ROW())="", "", INDIRECT("'Student_Record 1'!C" &amp; ROW()))</f>
        <v/>
      </c>
      <c r="C1317" s="8" t="str" cm="1">
        <f t="array" aca="1" ref="C1317" ca="1">IF(INDIRECT("'Student_Record 1'!E" &amp; ROW())="", "", INDIRECT("'Student_Record 1'!E" &amp; ROW()))</f>
        <v/>
      </c>
      <c r="D1317" s="8" t="str" cm="1">
        <f t="array" aca="1" ref="D1317" ca="1">IF(INDIRECT("'Student_Record 1'!G" &amp; ROW())="", "", INDIRECT("'Student_Record 1'!G" &amp; ROW()))</f>
        <v/>
      </c>
      <c r="E1317" s="8" t="str" cm="1">
        <f t="array" aca="1" ref="E1317" ca="1">IF(INDIRECT("'Student_Record 1'!I" &amp; ROW())="", "", INDIRECT("'Student_Record 1'!I" &amp; ROW()))</f>
        <v/>
      </c>
      <c r="F1317" s="8" t="str" cm="1">
        <f t="array" aca="1" ref="F1317" ca="1">IF(INDIRECT("'Student_Record 1'!O" &amp; ROW())="", "", INDIRECT("'Student_Record 1'!O" &amp; ROW()))</f>
        <v/>
      </c>
    </row>
    <row r="1318" spans="1:6" x14ac:dyDescent="0.25">
      <c r="A1318" s="8" t="str" cm="1">
        <f t="array" aca="1" ref="A1318" ca="1">IF(INDIRECT("'Student_Record 1'!A" &amp; ROW())="", "", INDIRECT("'Student_Record 1'!A" &amp; ROW()))</f>
        <v/>
      </c>
      <c r="B1318" s="8" t="str" cm="1">
        <f t="array" aca="1" ref="B1318" ca="1">IF(INDIRECT("'Student_Record 1'!C" &amp; ROW())="", "", INDIRECT("'Student_Record 1'!C" &amp; ROW()))</f>
        <v/>
      </c>
      <c r="C1318" s="8" t="str" cm="1">
        <f t="array" aca="1" ref="C1318" ca="1">IF(INDIRECT("'Student_Record 1'!E" &amp; ROW())="", "", INDIRECT("'Student_Record 1'!E" &amp; ROW()))</f>
        <v/>
      </c>
      <c r="D1318" s="8" t="str" cm="1">
        <f t="array" aca="1" ref="D1318" ca="1">IF(INDIRECT("'Student_Record 1'!G" &amp; ROW())="", "", INDIRECT("'Student_Record 1'!G" &amp; ROW()))</f>
        <v/>
      </c>
      <c r="E1318" s="8" t="str" cm="1">
        <f t="array" aca="1" ref="E1318" ca="1">IF(INDIRECT("'Student_Record 1'!I" &amp; ROW())="", "", INDIRECT("'Student_Record 1'!I" &amp; ROW()))</f>
        <v/>
      </c>
      <c r="F1318" s="8" t="str" cm="1">
        <f t="array" aca="1" ref="F1318" ca="1">IF(INDIRECT("'Student_Record 1'!O" &amp; ROW())="", "", INDIRECT("'Student_Record 1'!O" &amp; ROW()))</f>
        <v/>
      </c>
    </row>
    <row r="1319" spans="1:6" x14ac:dyDescent="0.25">
      <c r="A1319" s="8" t="str" cm="1">
        <f t="array" aca="1" ref="A1319" ca="1">IF(INDIRECT("'Student_Record 1'!A" &amp; ROW())="", "", INDIRECT("'Student_Record 1'!A" &amp; ROW()))</f>
        <v/>
      </c>
      <c r="B1319" s="8" t="str" cm="1">
        <f t="array" aca="1" ref="B1319" ca="1">IF(INDIRECT("'Student_Record 1'!C" &amp; ROW())="", "", INDIRECT("'Student_Record 1'!C" &amp; ROW()))</f>
        <v/>
      </c>
      <c r="C1319" s="8" t="str" cm="1">
        <f t="array" aca="1" ref="C1319" ca="1">IF(INDIRECT("'Student_Record 1'!E" &amp; ROW())="", "", INDIRECT("'Student_Record 1'!E" &amp; ROW()))</f>
        <v/>
      </c>
      <c r="D1319" s="8" t="str" cm="1">
        <f t="array" aca="1" ref="D1319" ca="1">IF(INDIRECT("'Student_Record 1'!G" &amp; ROW())="", "", INDIRECT("'Student_Record 1'!G" &amp; ROW()))</f>
        <v/>
      </c>
      <c r="E1319" s="8" t="str" cm="1">
        <f t="array" aca="1" ref="E1319" ca="1">IF(INDIRECT("'Student_Record 1'!I" &amp; ROW())="", "", INDIRECT("'Student_Record 1'!I" &amp; ROW()))</f>
        <v/>
      </c>
      <c r="F1319" s="8" t="str" cm="1">
        <f t="array" aca="1" ref="F1319" ca="1">IF(INDIRECT("'Student_Record 1'!O" &amp; ROW())="", "", INDIRECT("'Student_Record 1'!O" &amp; ROW()))</f>
        <v/>
      </c>
    </row>
    <row r="1320" spans="1:6" x14ac:dyDescent="0.25">
      <c r="A1320" s="8" t="str" cm="1">
        <f t="array" aca="1" ref="A1320" ca="1">IF(INDIRECT("'Student_Record 1'!A" &amp; ROW())="", "", INDIRECT("'Student_Record 1'!A" &amp; ROW()))</f>
        <v/>
      </c>
      <c r="B1320" s="8" t="str" cm="1">
        <f t="array" aca="1" ref="B1320" ca="1">IF(INDIRECT("'Student_Record 1'!C" &amp; ROW())="", "", INDIRECT("'Student_Record 1'!C" &amp; ROW()))</f>
        <v/>
      </c>
      <c r="C1320" s="8" t="str" cm="1">
        <f t="array" aca="1" ref="C1320" ca="1">IF(INDIRECT("'Student_Record 1'!E" &amp; ROW())="", "", INDIRECT("'Student_Record 1'!E" &amp; ROW()))</f>
        <v/>
      </c>
      <c r="D1320" s="8" t="str" cm="1">
        <f t="array" aca="1" ref="D1320" ca="1">IF(INDIRECT("'Student_Record 1'!G" &amp; ROW())="", "", INDIRECT("'Student_Record 1'!G" &amp; ROW()))</f>
        <v/>
      </c>
      <c r="E1320" s="8" t="str" cm="1">
        <f t="array" aca="1" ref="E1320" ca="1">IF(INDIRECT("'Student_Record 1'!I" &amp; ROW())="", "", INDIRECT("'Student_Record 1'!I" &amp; ROW()))</f>
        <v/>
      </c>
      <c r="F1320" s="8" t="str" cm="1">
        <f t="array" aca="1" ref="F1320" ca="1">IF(INDIRECT("'Student_Record 1'!O" &amp; ROW())="", "", INDIRECT("'Student_Record 1'!O" &amp; ROW()))</f>
        <v/>
      </c>
    </row>
    <row r="1321" spans="1:6" x14ac:dyDescent="0.25">
      <c r="A1321" s="8" t="str" cm="1">
        <f t="array" aca="1" ref="A1321" ca="1">IF(INDIRECT("'Student_Record 1'!A" &amp; ROW())="", "", INDIRECT("'Student_Record 1'!A" &amp; ROW()))</f>
        <v/>
      </c>
      <c r="B1321" s="8" t="str" cm="1">
        <f t="array" aca="1" ref="B1321" ca="1">IF(INDIRECT("'Student_Record 1'!C" &amp; ROW())="", "", INDIRECT("'Student_Record 1'!C" &amp; ROW()))</f>
        <v/>
      </c>
      <c r="C1321" s="8" t="str" cm="1">
        <f t="array" aca="1" ref="C1321" ca="1">IF(INDIRECT("'Student_Record 1'!E" &amp; ROW())="", "", INDIRECT("'Student_Record 1'!E" &amp; ROW()))</f>
        <v/>
      </c>
      <c r="D1321" s="8" t="str" cm="1">
        <f t="array" aca="1" ref="D1321" ca="1">IF(INDIRECT("'Student_Record 1'!G" &amp; ROW())="", "", INDIRECT("'Student_Record 1'!G" &amp; ROW()))</f>
        <v/>
      </c>
      <c r="E1321" s="8" t="str" cm="1">
        <f t="array" aca="1" ref="E1321" ca="1">IF(INDIRECT("'Student_Record 1'!I" &amp; ROW())="", "", INDIRECT("'Student_Record 1'!I" &amp; ROW()))</f>
        <v/>
      </c>
      <c r="F1321" s="8" t="str" cm="1">
        <f t="array" aca="1" ref="F1321" ca="1">IF(INDIRECT("'Student_Record 1'!O" &amp; ROW())="", "", INDIRECT("'Student_Record 1'!O" &amp; ROW()))</f>
        <v/>
      </c>
    </row>
    <row r="1322" spans="1:6" x14ac:dyDescent="0.25">
      <c r="A1322" s="8" t="str" cm="1">
        <f t="array" aca="1" ref="A1322" ca="1">IF(INDIRECT("'Student_Record 1'!A" &amp; ROW())="", "", INDIRECT("'Student_Record 1'!A" &amp; ROW()))</f>
        <v/>
      </c>
      <c r="B1322" s="8" t="str" cm="1">
        <f t="array" aca="1" ref="B1322" ca="1">IF(INDIRECT("'Student_Record 1'!C" &amp; ROW())="", "", INDIRECT("'Student_Record 1'!C" &amp; ROW()))</f>
        <v/>
      </c>
      <c r="C1322" s="8" t="str" cm="1">
        <f t="array" aca="1" ref="C1322" ca="1">IF(INDIRECT("'Student_Record 1'!E" &amp; ROW())="", "", INDIRECT("'Student_Record 1'!E" &amp; ROW()))</f>
        <v/>
      </c>
      <c r="D1322" s="8" t="str" cm="1">
        <f t="array" aca="1" ref="D1322" ca="1">IF(INDIRECT("'Student_Record 1'!G" &amp; ROW())="", "", INDIRECT("'Student_Record 1'!G" &amp; ROW()))</f>
        <v/>
      </c>
      <c r="E1322" s="8" t="str" cm="1">
        <f t="array" aca="1" ref="E1322" ca="1">IF(INDIRECT("'Student_Record 1'!I" &amp; ROW())="", "", INDIRECT("'Student_Record 1'!I" &amp; ROW()))</f>
        <v/>
      </c>
      <c r="F1322" s="8" t="str" cm="1">
        <f t="array" aca="1" ref="F1322" ca="1">IF(INDIRECT("'Student_Record 1'!O" &amp; ROW())="", "", INDIRECT("'Student_Record 1'!O" &amp; ROW()))</f>
        <v/>
      </c>
    </row>
    <row r="1323" spans="1:6" x14ac:dyDescent="0.25">
      <c r="A1323" s="8" t="str" cm="1">
        <f t="array" aca="1" ref="A1323" ca="1">IF(INDIRECT("'Student_Record 1'!A" &amp; ROW())="", "", INDIRECT("'Student_Record 1'!A" &amp; ROW()))</f>
        <v/>
      </c>
      <c r="B1323" s="8" t="str" cm="1">
        <f t="array" aca="1" ref="B1323" ca="1">IF(INDIRECT("'Student_Record 1'!C" &amp; ROW())="", "", INDIRECT("'Student_Record 1'!C" &amp; ROW()))</f>
        <v/>
      </c>
      <c r="C1323" s="8" t="str" cm="1">
        <f t="array" aca="1" ref="C1323" ca="1">IF(INDIRECT("'Student_Record 1'!E" &amp; ROW())="", "", INDIRECT("'Student_Record 1'!E" &amp; ROW()))</f>
        <v/>
      </c>
      <c r="D1323" s="8" t="str" cm="1">
        <f t="array" aca="1" ref="D1323" ca="1">IF(INDIRECT("'Student_Record 1'!G" &amp; ROW())="", "", INDIRECT("'Student_Record 1'!G" &amp; ROW()))</f>
        <v/>
      </c>
      <c r="E1323" s="8" t="str" cm="1">
        <f t="array" aca="1" ref="E1323" ca="1">IF(INDIRECT("'Student_Record 1'!I" &amp; ROW())="", "", INDIRECT("'Student_Record 1'!I" &amp; ROW()))</f>
        <v/>
      </c>
      <c r="F1323" s="8" t="str" cm="1">
        <f t="array" aca="1" ref="F1323" ca="1">IF(INDIRECT("'Student_Record 1'!O" &amp; ROW())="", "", INDIRECT("'Student_Record 1'!O" &amp; ROW()))</f>
        <v/>
      </c>
    </row>
    <row r="1324" spans="1:6" x14ac:dyDescent="0.25">
      <c r="A1324" s="8" t="str" cm="1">
        <f t="array" aca="1" ref="A1324" ca="1">IF(INDIRECT("'Student_Record 1'!A" &amp; ROW())="", "", INDIRECT("'Student_Record 1'!A" &amp; ROW()))</f>
        <v/>
      </c>
      <c r="B1324" s="8" t="str" cm="1">
        <f t="array" aca="1" ref="B1324" ca="1">IF(INDIRECT("'Student_Record 1'!C" &amp; ROW())="", "", INDIRECT("'Student_Record 1'!C" &amp; ROW()))</f>
        <v/>
      </c>
      <c r="C1324" s="8" t="str" cm="1">
        <f t="array" aca="1" ref="C1324" ca="1">IF(INDIRECT("'Student_Record 1'!E" &amp; ROW())="", "", INDIRECT("'Student_Record 1'!E" &amp; ROW()))</f>
        <v/>
      </c>
      <c r="D1324" s="8" t="str" cm="1">
        <f t="array" aca="1" ref="D1324" ca="1">IF(INDIRECT("'Student_Record 1'!G" &amp; ROW())="", "", INDIRECT("'Student_Record 1'!G" &amp; ROW()))</f>
        <v/>
      </c>
      <c r="E1324" s="8" t="str" cm="1">
        <f t="array" aca="1" ref="E1324" ca="1">IF(INDIRECT("'Student_Record 1'!I" &amp; ROW())="", "", INDIRECT("'Student_Record 1'!I" &amp; ROW()))</f>
        <v/>
      </c>
      <c r="F1324" s="8" t="str" cm="1">
        <f t="array" aca="1" ref="F1324" ca="1">IF(INDIRECT("'Student_Record 1'!O" &amp; ROW())="", "", INDIRECT("'Student_Record 1'!O" &amp; ROW()))</f>
        <v/>
      </c>
    </row>
    <row r="1325" spans="1:6" x14ac:dyDescent="0.25">
      <c r="A1325" s="8" t="str" cm="1">
        <f t="array" aca="1" ref="A1325" ca="1">IF(INDIRECT("'Student_Record 1'!A" &amp; ROW())="", "", INDIRECT("'Student_Record 1'!A" &amp; ROW()))</f>
        <v/>
      </c>
      <c r="B1325" s="8" t="str" cm="1">
        <f t="array" aca="1" ref="B1325" ca="1">IF(INDIRECT("'Student_Record 1'!C" &amp; ROW())="", "", INDIRECT("'Student_Record 1'!C" &amp; ROW()))</f>
        <v/>
      </c>
      <c r="C1325" s="8" t="str" cm="1">
        <f t="array" aca="1" ref="C1325" ca="1">IF(INDIRECT("'Student_Record 1'!E" &amp; ROW())="", "", INDIRECT("'Student_Record 1'!E" &amp; ROW()))</f>
        <v/>
      </c>
      <c r="D1325" s="8" t="str" cm="1">
        <f t="array" aca="1" ref="D1325" ca="1">IF(INDIRECT("'Student_Record 1'!G" &amp; ROW())="", "", INDIRECT("'Student_Record 1'!G" &amp; ROW()))</f>
        <v/>
      </c>
      <c r="E1325" s="8" t="str" cm="1">
        <f t="array" aca="1" ref="E1325" ca="1">IF(INDIRECT("'Student_Record 1'!I" &amp; ROW())="", "", INDIRECT("'Student_Record 1'!I" &amp; ROW()))</f>
        <v/>
      </c>
      <c r="F1325" s="8" t="str" cm="1">
        <f t="array" aca="1" ref="F1325" ca="1">IF(INDIRECT("'Student_Record 1'!O" &amp; ROW())="", "", INDIRECT("'Student_Record 1'!O" &amp; ROW()))</f>
        <v/>
      </c>
    </row>
    <row r="1326" spans="1:6" x14ac:dyDescent="0.25">
      <c r="A1326" s="8" t="str" cm="1">
        <f t="array" aca="1" ref="A1326" ca="1">IF(INDIRECT("'Student_Record 1'!A" &amp; ROW())="", "", INDIRECT("'Student_Record 1'!A" &amp; ROW()))</f>
        <v/>
      </c>
      <c r="B1326" s="8" t="str" cm="1">
        <f t="array" aca="1" ref="B1326" ca="1">IF(INDIRECT("'Student_Record 1'!C" &amp; ROW())="", "", INDIRECT("'Student_Record 1'!C" &amp; ROW()))</f>
        <v/>
      </c>
      <c r="C1326" s="8" t="str" cm="1">
        <f t="array" aca="1" ref="C1326" ca="1">IF(INDIRECT("'Student_Record 1'!E" &amp; ROW())="", "", INDIRECT("'Student_Record 1'!E" &amp; ROW()))</f>
        <v/>
      </c>
      <c r="D1326" s="8" t="str" cm="1">
        <f t="array" aca="1" ref="D1326" ca="1">IF(INDIRECT("'Student_Record 1'!G" &amp; ROW())="", "", INDIRECT("'Student_Record 1'!G" &amp; ROW()))</f>
        <v/>
      </c>
      <c r="E1326" s="8" t="str" cm="1">
        <f t="array" aca="1" ref="E1326" ca="1">IF(INDIRECT("'Student_Record 1'!I" &amp; ROW())="", "", INDIRECT("'Student_Record 1'!I" &amp; ROW()))</f>
        <v/>
      </c>
      <c r="F1326" s="8" t="str" cm="1">
        <f t="array" aca="1" ref="F1326" ca="1">IF(INDIRECT("'Student_Record 1'!O" &amp; ROW())="", "", INDIRECT("'Student_Record 1'!O" &amp; ROW()))</f>
        <v/>
      </c>
    </row>
    <row r="1327" spans="1:6" x14ac:dyDescent="0.25">
      <c r="A1327" s="8" t="str" cm="1">
        <f t="array" aca="1" ref="A1327" ca="1">IF(INDIRECT("'Student_Record 1'!A" &amp; ROW())="", "", INDIRECT("'Student_Record 1'!A" &amp; ROW()))</f>
        <v/>
      </c>
      <c r="B1327" s="8" t="str" cm="1">
        <f t="array" aca="1" ref="B1327" ca="1">IF(INDIRECT("'Student_Record 1'!C" &amp; ROW())="", "", INDIRECT("'Student_Record 1'!C" &amp; ROW()))</f>
        <v/>
      </c>
      <c r="C1327" s="8" t="str" cm="1">
        <f t="array" aca="1" ref="C1327" ca="1">IF(INDIRECT("'Student_Record 1'!E" &amp; ROW())="", "", INDIRECT("'Student_Record 1'!E" &amp; ROW()))</f>
        <v/>
      </c>
      <c r="D1327" s="8" t="str" cm="1">
        <f t="array" aca="1" ref="D1327" ca="1">IF(INDIRECT("'Student_Record 1'!G" &amp; ROW())="", "", INDIRECT("'Student_Record 1'!G" &amp; ROW()))</f>
        <v/>
      </c>
      <c r="E1327" s="8" t="str" cm="1">
        <f t="array" aca="1" ref="E1327" ca="1">IF(INDIRECT("'Student_Record 1'!I" &amp; ROW())="", "", INDIRECT("'Student_Record 1'!I" &amp; ROW()))</f>
        <v/>
      </c>
      <c r="F1327" s="8" t="str" cm="1">
        <f t="array" aca="1" ref="F1327" ca="1">IF(INDIRECT("'Student_Record 1'!O" &amp; ROW())="", "", INDIRECT("'Student_Record 1'!O" &amp; ROW()))</f>
        <v/>
      </c>
    </row>
    <row r="1328" spans="1:6" x14ac:dyDescent="0.25">
      <c r="A1328" s="8" t="str" cm="1">
        <f t="array" aca="1" ref="A1328" ca="1">IF(INDIRECT("'Student_Record 1'!A" &amp; ROW())="", "", INDIRECT("'Student_Record 1'!A" &amp; ROW()))</f>
        <v/>
      </c>
      <c r="B1328" s="8" t="str" cm="1">
        <f t="array" aca="1" ref="B1328" ca="1">IF(INDIRECT("'Student_Record 1'!C" &amp; ROW())="", "", INDIRECT("'Student_Record 1'!C" &amp; ROW()))</f>
        <v/>
      </c>
      <c r="C1328" s="8" t="str" cm="1">
        <f t="array" aca="1" ref="C1328" ca="1">IF(INDIRECT("'Student_Record 1'!E" &amp; ROW())="", "", INDIRECT("'Student_Record 1'!E" &amp; ROW()))</f>
        <v/>
      </c>
      <c r="D1328" s="8" t="str" cm="1">
        <f t="array" aca="1" ref="D1328" ca="1">IF(INDIRECT("'Student_Record 1'!G" &amp; ROW())="", "", INDIRECT("'Student_Record 1'!G" &amp; ROW()))</f>
        <v/>
      </c>
      <c r="E1328" s="8" t="str" cm="1">
        <f t="array" aca="1" ref="E1328" ca="1">IF(INDIRECT("'Student_Record 1'!I" &amp; ROW())="", "", INDIRECT("'Student_Record 1'!I" &amp; ROW()))</f>
        <v/>
      </c>
      <c r="F1328" s="8" t="str" cm="1">
        <f t="array" aca="1" ref="F1328" ca="1">IF(INDIRECT("'Student_Record 1'!O" &amp; ROW())="", "", INDIRECT("'Student_Record 1'!O" &amp; ROW()))</f>
        <v/>
      </c>
    </row>
    <row r="1329" spans="1:6" x14ac:dyDescent="0.25">
      <c r="A1329" s="8" t="str" cm="1">
        <f t="array" aca="1" ref="A1329" ca="1">IF(INDIRECT("'Student_Record 1'!A" &amp; ROW())="", "", INDIRECT("'Student_Record 1'!A" &amp; ROW()))</f>
        <v/>
      </c>
      <c r="B1329" s="8" t="str" cm="1">
        <f t="array" aca="1" ref="B1329" ca="1">IF(INDIRECT("'Student_Record 1'!C" &amp; ROW())="", "", INDIRECT("'Student_Record 1'!C" &amp; ROW()))</f>
        <v/>
      </c>
      <c r="C1329" s="8" t="str" cm="1">
        <f t="array" aca="1" ref="C1329" ca="1">IF(INDIRECT("'Student_Record 1'!E" &amp; ROW())="", "", INDIRECT("'Student_Record 1'!E" &amp; ROW()))</f>
        <v/>
      </c>
      <c r="D1329" s="8" t="str" cm="1">
        <f t="array" aca="1" ref="D1329" ca="1">IF(INDIRECT("'Student_Record 1'!G" &amp; ROW())="", "", INDIRECT("'Student_Record 1'!G" &amp; ROW()))</f>
        <v/>
      </c>
      <c r="E1329" s="8" t="str" cm="1">
        <f t="array" aca="1" ref="E1329" ca="1">IF(INDIRECT("'Student_Record 1'!I" &amp; ROW())="", "", INDIRECT("'Student_Record 1'!I" &amp; ROW()))</f>
        <v/>
      </c>
      <c r="F1329" s="8" t="str" cm="1">
        <f t="array" aca="1" ref="F1329" ca="1">IF(INDIRECT("'Student_Record 1'!O" &amp; ROW())="", "", INDIRECT("'Student_Record 1'!O" &amp; ROW()))</f>
        <v/>
      </c>
    </row>
    <row r="1330" spans="1:6" x14ac:dyDescent="0.25">
      <c r="A1330" s="8" t="str" cm="1">
        <f t="array" aca="1" ref="A1330" ca="1">IF(INDIRECT("'Student_Record 1'!A" &amp; ROW())="", "", INDIRECT("'Student_Record 1'!A" &amp; ROW()))</f>
        <v/>
      </c>
      <c r="B1330" s="8" t="str" cm="1">
        <f t="array" aca="1" ref="B1330" ca="1">IF(INDIRECT("'Student_Record 1'!C" &amp; ROW())="", "", INDIRECT("'Student_Record 1'!C" &amp; ROW()))</f>
        <v/>
      </c>
      <c r="C1330" s="8" t="str" cm="1">
        <f t="array" aca="1" ref="C1330" ca="1">IF(INDIRECT("'Student_Record 1'!E" &amp; ROW())="", "", INDIRECT("'Student_Record 1'!E" &amp; ROW()))</f>
        <v/>
      </c>
      <c r="D1330" s="8" t="str" cm="1">
        <f t="array" aca="1" ref="D1330" ca="1">IF(INDIRECT("'Student_Record 1'!G" &amp; ROW())="", "", INDIRECT("'Student_Record 1'!G" &amp; ROW()))</f>
        <v/>
      </c>
      <c r="E1330" s="8" t="str" cm="1">
        <f t="array" aca="1" ref="E1330" ca="1">IF(INDIRECT("'Student_Record 1'!I" &amp; ROW())="", "", INDIRECT("'Student_Record 1'!I" &amp; ROW()))</f>
        <v/>
      </c>
      <c r="F1330" s="8" t="str" cm="1">
        <f t="array" aca="1" ref="F1330" ca="1">IF(INDIRECT("'Student_Record 1'!O" &amp; ROW())="", "", INDIRECT("'Student_Record 1'!O" &amp; ROW()))</f>
        <v/>
      </c>
    </row>
    <row r="1331" spans="1:6" x14ac:dyDescent="0.25">
      <c r="A1331" s="8" t="str" cm="1">
        <f t="array" aca="1" ref="A1331" ca="1">IF(INDIRECT("'Student_Record 1'!A" &amp; ROW())="", "", INDIRECT("'Student_Record 1'!A" &amp; ROW()))</f>
        <v/>
      </c>
      <c r="B1331" s="8" t="str" cm="1">
        <f t="array" aca="1" ref="B1331" ca="1">IF(INDIRECT("'Student_Record 1'!C" &amp; ROW())="", "", INDIRECT("'Student_Record 1'!C" &amp; ROW()))</f>
        <v/>
      </c>
      <c r="C1331" s="8" t="str" cm="1">
        <f t="array" aca="1" ref="C1331" ca="1">IF(INDIRECT("'Student_Record 1'!E" &amp; ROW())="", "", INDIRECT("'Student_Record 1'!E" &amp; ROW()))</f>
        <v/>
      </c>
      <c r="D1331" s="8" t="str" cm="1">
        <f t="array" aca="1" ref="D1331" ca="1">IF(INDIRECT("'Student_Record 1'!G" &amp; ROW())="", "", INDIRECT("'Student_Record 1'!G" &amp; ROW()))</f>
        <v/>
      </c>
      <c r="E1331" s="8" t="str" cm="1">
        <f t="array" aca="1" ref="E1331" ca="1">IF(INDIRECT("'Student_Record 1'!I" &amp; ROW())="", "", INDIRECT("'Student_Record 1'!I" &amp; ROW()))</f>
        <v/>
      </c>
      <c r="F1331" s="8" t="str" cm="1">
        <f t="array" aca="1" ref="F1331" ca="1">IF(INDIRECT("'Student_Record 1'!O" &amp; ROW())="", "", INDIRECT("'Student_Record 1'!O" &amp; ROW()))</f>
        <v/>
      </c>
    </row>
    <row r="1332" spans="1:6" x14ac:dyDescent="0.25">
      <c r="A1332" s="8" t="str" cm="1">
        <f t="array" aca="1" ref="A1332" ca="1">IF(INDIRECT("'Student_Record 1'!A" &amp; ROW())="", "", INDIRECT("'Student_Record 1'!A" &amp; ROW()))</f>
        <v/>
      </c>
      <c r="B1332" s="8" t="str" cm="1">
        <f t="array" aca="1" ref="B1332" ca="1">IF(INDIRECT("'Student_Record 1'!C" &amp; ROW())="", "", INDIRECT("'Student_Record 1'!C" &amp; ROW()))</f>
        <v/>
      </c>
      <c r="C1332" s="8" t="str" cm="1">
        <f t="array" aca="1" ref="C1332" ca="1">IF(INDIRECT("'Student_Record 1'!E" &amp; ROW())="", "", INDIRECT("'Student_Record 1'!E" &amp; ROW()))</f>
        <v/>
      </c>
      <c r="D1332" s="8" t="str" cm="1">
        <f t="array" aca="1" ref="D1332" ca="1">IF(INDIRECT("'Student_Record 1'!G" &amp; ROW())="", "", INDIRECT("'Student_Record 1'!G" &amp; ROW()))</f>
        <v/>
      </c>
      <c r="E1332" s="8" t="str" cm="1">
        <f t="array" aca="1" ref="E1332" ca="1">IF(INDIRECT("'Student_Record 1'!I" &amp; ROW())="", "", INDIRECT("'Student_Record 1'!I" &amp; ROW()))</f>
        <v/>
      </c>
      <c r="F1332" s="8" t="str" cm="1">
        <f t="array" aca="1" ref="F1332" ca="1">IF(INDIRECT("'Student_Record 1'!O" &amp; ROW())="", "", INDIRECT("'Student_Record 1'!O" &amp; ROW()))</f>
        <v/>
      </c>
    </row>
    <row r="1333" spans="1:6" x14ac:dyDescent="0.25">
      <c r="A1333" s="8" t="str" cm="1">
        <f t="array" aca="1" ref="A1333" ca="1">IF(INDIRECT("'Student_Record 1'!A" &amp; ROW())="", "", INDIRECT("'Student_Record 1'!A" &amp; ROW()))</f>
        <v/>
      </c>
      <c r="B1333" s="8" t="str" cm="1">
        <f t="array" aca="1" ref="B1333" ca="1">IF(INDIRECT("'Student_Record 1'!C" &amp; ROW())="", "", INDIRECT("'Student_Record 1'!C" &amp; ROW()))</f>
        <v/>
      </c>
      <c r="C1333" s="8" t="str" cm="1">
        <f t="array" aca="1" ref="C1333" ca="1">IF(INDIRECT("'Student_Record 1'!E" &amp; ROW())="", "", INDIRECT("'Student_Record 1'!E" &amp; ROW()))</f>
        <v/>
      </c>
      <c r="D1333" s="8" t="str" cm="1">
        <f t="array" aca="1" ref="D1333" ca="1">IF(INDIRECT("'Student_Record 1'!G" &amp; ROW())="", "", INDIRECT("'Student_Record 1'!G" &amp; ROW()))</f>
        <v/>
      </c>
      <c r="E1333" s="8" t="str" cm="1">
        <f t="array" aca="1" ref="E1333" ca="1">IF(INDIRECT("'Student_Record 1'!I" &amp; ROW())="", "", INDIRECT("'Student_Record 1'!I" &amp; ROW()))</f>
        <v/>
      </c>
      <c r="F1333" s="8" t="str" cm="1">
        <f t="array" aca="1" ref="F1333" ca="1">IF(INDIRECT("'Student_Record 1'!O" &amp; ROW())="", "", INDIRECT("'Student_Record 1'!O" &amp; ROW()))</f>
        <v/>
      </c>
    </row>
    <row r="1334" spans="1:6" x14ac:dyDescent="0.25">
      <c r="A1334" s="8" t="str" cm="1">
        <f t="array" aca="1" ref="A1334" ca="1">IF(INDIRECT("'Student_Record 1'!A" &amp; ROW())="", "", INDIRECT("'Student_Record 1'!A" &amp; ROW()))</f>
        <v/>
      </c>
      <c r="B1334" s="8" t="str" cm="1">
        <f t="array" aca="1" ref="B1334" ca="1">IF(INDIRECT("'Student_Record 1'!C" &amp; ROW())="", "", INDIRECT("'Student_Record 1'!C" &amp; ROW()))</f>
        <v/>
      </c>
      <c r="C1334" s="8" t="str" cm="1">
        <f t="array" aca="1" ref="C1334" ca="1">IF(INDIRECT("'Student_Record 1'!E" &amp; ROW())="", "", INDIRECT("'Student_Record 1'!E" &amp; ROW()))</f>
        <v/>
      </c>
      <c r="D1334" s="8" t="str" cm="1">
        <f t="array" aca="1" ref="D1334" ca="1">IF(INDIRECT("'Student_Record 1'!G" &amp; ROW())="", "", INDIRECT("'Student_Record 1'!G" &amp; ROW()))</f>
        <v/>
      </c>
      <c r="E1334" s="8" t="str" cm="1">
        <f t="array" aca="1" ref="E1334" ca="1">IF(INDIRECT("'Student_Record 1'!I" &amp; ROW())="", "", INDIRECT("'Student_Record 1'!I" &amp; ROW()))</f>
        <v/>
      </c>
      <c r="F1334" s="8" t="str" cm="1">
        <f t="array" aca="1" ref="F1334" ca="1">IF(INDIRECT("'Student_Record 1'!O" &amp; ROW())="", "", INDIRECT("'Student_Record 1'!O" &amp; ROW()))</f>
        <v/>
      </c>
    </row>
    <row r="1335" spans="1:6" x14ac:dyDescent="0.25">
      <c r="A1335" s="8" t="str" cm="1">
        <f t="array" aca="1" ref="A1335" ca="1">IF(INDIRECT("'Student_Record 1'!A" &amp; ROW())="", "", INDIRECT("'Student_Record 1'!A" &amp; ROW()))</f>
        <v/>
      </c>
      <c r="B1335" s="8" t="str" cm="1">
        <f t="array" aca="1" ref="B1335" ca="1">IF(INDIRECT("'Student_Record 1'!C" &amp; ROW())="", "", INDIRECT("'Student_Record 1'!C" &amp; ROW()))</f>
        <v/>
      </c>
      <c r="C1335" s="8" t="str" cm="1">
        <f t="array" aca="1" ref="C1335" ca="1">IF(INDIRECT("'Student_Record 1'!E" &amp; ROW())="", "", INDIRECT("'Student_Record 1'!E" &amp; ROW()))</f>
        <v/>
      </c>
      <c r="D1335" s="8" t="str" cm="1">
        <f t="array" aca="1" ref="D1335" ca="1">IF(INDIRECT("'Student_Record 1'!G" &amp; ROW())="", "", INDIRECT("'Student_Record 1'!G" &amp; ROW()))</f>
        <v/>
      </c>
      <c r="E1335" s="8" t="str" cm="1">
        <f t="array" aca="1" ref="E1335" ca="1">IF(INDIRECT("'Student_Record 1'!I" &amp; ROW())="", "", INDIRECT("'Student_Record 1'!I" &amp; ROW()))</f>
        <v/>
      </c>
      <c r="F1335" s="8" t="str" cm="1">
        <f t="array" aca="1" ref="F1335" ca="1">IF(INDIRECT("'Student_Record 1'!O" &amp; ROW())="", "", INDIRECT("'Student_Record 1'!O" &amp; ROW()))</f>
        <v/>
      </c>
    </row>
    <row r="1336" spans="1:6" x14ac:dyDescent="0.25">
      <c r="A1336" s="8" t="str" cm="1">
        <f t="array" aca="1" ref="A1336" ca="1">IF(INDIRECT("'Student_Record 1'!A" &amp; ROW())="", "", INDIRECT("'Student_Record 1'!A" &amp; ROW()))</f>
        <v/>
      </c>
      <c r="B1336" s="8" t="str" cm="1">
        <f t="array" aca="1" ref="B1336" ca="1">IF(INDIRECT("'Student_Record 1'!C" &amp; ROW())="", "", INDIRECT("'Student_Record 1'!C" &amp; ROW()))</f>
        <v/>
      </c>
      <c r="C1336" s="8" t="str" cm="1">
        <f t="array" aca="1" ref="C1336" ca="1">IF(INDIRECT("'Student_Record 1'!E" &amp; ROW())="", "", INDIRECT("'Student_Record 1'!E" &amp; ROW()))</f>
        <v/>
      </c>
      <c r="D1336" s="8" t="str" cm="1">
        <f t="array" aca="1" ref="D1336" ca="1">IF(INDIRECT("'Student_Record 1'!G" &amp; ROW())="", "", INDIRECT("'Student_Record 1'!G" &amp; ROW()))</f>
        <v/>
      </c>
      <c r="E1336" s="8" t="str" cm="1">
        <f t="array" aca="1" ref="E1336" ca="1">IF(INDIRECT("'Student_Record 1'!I" &amp; ROW())="", "", INDIRECT("'Student_Record 1'!I" &amp; ROW()))</f>
        <v/>
      </c>
      <c r="F1336" s="8" t="str" cm="1">
        <f t="array" aca="1" ref="F1336" ca="1">IF(INDIRECT("'Student_Record 1'!O" &amp; ROW())="", "", INDIRECT("'Student_Record 1'!O" &amp; ROW()))</f>
        <v/>
      </c>
    </row>
    <row r="1337" spans="1:6" x14ac:dyDescent="0.25">
      <c r="A1337" s="8" t="str" cm="1">
        <f t="array" aca="1" ref="A1337" ca="1">IF(INDIRECT("'Student_Record 1'!A" &amp; ROW())="", "", INDIRECT("'Student_Record 1'!A" &amp; ROW()))</f>
        <v/>
      </c>
      <c r="B1337" s="8" t="str" cm="1">
        <f t="array" aca="1" ref="B1337" ca="1">IF(INDIRECT("'Student_Record 1'!C" &amp; ROW())="", "", INDIRECT("'Student_Record 1'!C" &amp; ROW()))</f>
        <v/>
      </c>
      <c r="C1337" s="8" t="str" cm="1">
        <f t="array" aca="1" ref="C1337" ca="1">IF(INDIRECT("'Student_Record 1'!E" &amp; ROW())="", "", INDIRECT("'Student_Record 1'!E" &amp; ROW()))</f>
        <v/>
      </c>
      <c r="D1337" s="8" t="str" cm="1">
        <f t="array" aca="1" ref="D1337" ca="1">IF(INDIRECT("'Student_Record 1'!G" &amp; ROW())="", "", INDIRECT("'Student_Record 1'!G" &amp; ROW()))</f>
        <v/>
      </c>
      <c r="E1337" s="8" t="str" cm="1">
        <f t="array" aca="1" ref="E1337" ca="1">IF(INDIRECT("'Student_Record 1'!I" &amp; ROW())="", "", INDIRECT("'Student_Record 1'!I" &amp; ROW()))</f>
        <v/>
      </c>
      <c r="F1337" s="8" t="str" cm="1">
        <f t="array" aca="1" ref="F1337" ca="1">IF(INDIRECT("'Student_Record 1'!O" &amp; ROW())="", "", INDIRECT("'Student_Record 1'!O" &amp; ROW()))</f>
        <v/>
      </c>
    </row>
    <row r="1338" spans="1:6" x14ac:dyDescent="0.25">
      <c r="A1338" s="8" t="str" cm="1">
        <f t="array" aca="1" ref="A1338" ca="1">IF(INDIRECT("'Student_Record 1'!A" &amp; ROW())="", "", INDIRECT("'Student_Record 1'!A" &amp; ROW()))</f>
        <v/>
      </c>
      <c r="B1338" s="8" t="str" cm="1">
        <f t="array" aca="1" ref="B1338" ca="1">IF(INDIRECT("'Student_Record 1'!C" &amp; ROW())="", "", INDIRECT("'Student_Record 1'!C" &amp; ROW()))</f>
        <v/>
      </c>
      <c r="C1338" s="8" t="str" cm="1">
        <f t="array" aca="1" ref="C1338" ca="1">IF(INDIRECT("'Student_Record 1'!E" &amp; ROW())="", "", INDIRECT("'Student_Record 1'!E" &amp; ROW()))</f>
        <v/>
      </c>
      <c r="D1338" s="8" t="str" cm="1">
        <f t="array" aca="1" ref="D1338" ca="1">IF(INDIRECT("'Student_Record 1'!G" &amp; ROW())="", "", INDIRECT("'Student_Record 1'!G" &amp; ROW()))</f>
        <v/>
      </c>
      <c r="E1338" s="8" t="str" cm="1">
        <f t="array" aca="1" ref="E1338" ca="1">IF(INDIRECT("'Student_Record 1'!I" &amp; ROW())="", "", INDIRECT("'Student_Record 1'!I" &amp; ROW()))</f>
        <v/>
      </c>
      <c r="F1338" s="8" t="str" cm="1">
        <f t="array" aca="1" ref="F1338" ca="1">IF(INDIRECT("'Student_Record 1'!O" &amp; ROW())="", "", INDIRECT("'Student_Record 1'!O" &amp; ROW()))</f>
        <v/>
      </c>
    </row>
    <row r="1339" spans="1:6" x14ac:dyDescent="0.25">
      <c r="A1339" s="8" t="str" cm="1">
        <f t="array" aca="1" ref="A1339" ca="1">IF(INDIRECT("'Student_Record 1'!A" &amp; ROW())="", "", INDIRECT("'Student_Record 1'!A" &amp; ROW()))</f>
        <v/>
      </c>
      <c r="B1339" s="8" t="str" cm="1">
        <f t="array" aca="1" ref="B1339" ca="1">IF(INDIRECT("'Student_Record 1'!C" &amp; ROW())="", "", INDIRECT("'Student_Record 1'!C" &amp; ROW()))</f>
        <v/>
      </c>
      <c r="C1339" s="8" t="str" cm="1">
        <f t="array" aca="1" ref="C1339" ca="1">IF(INDIRECT("'Student_Record 1'!E" &amp; ROW())="", "", INDIRECT("'Student_Record 1'!E" &amp; ROW()))</f>
        <v/>
      </c>
      <c r="D1339" s="8" t="str" cm="1">
        <f t="array" aca="1" ref="D1339" ca="1">IF(INDIRECT("'Student_Record 1'!G" &amp; ROW())="", "", INDIRECT("'Student_Record 1'!G" &amp; ROW()))</f>
        <v/>
      </c>
      <c r="E1339" s="8" t="str" cm="1">
        <f t="array" aca="1" ref="E1339" ca="1">IF(INDIRECT("'Student_Record 1'!I" &amp; ROW())="", "", INDIRECT("'Student_Record 1'!I" &amp; ROW()))</f>
        <v/>
      </c>
      <c r="F1339" s="8" t="str" cm="1">
        <f t="array" aca="1" ref="F1339" ca="1">IF(INDIRECT("'Student_Record 1'!O" &amp; ROW())="", "", INDIRECT("'Student_Record 1'!O" &amp; ROW()))</f>
        <v/>
      </c>
    </row>
    <row r="1340" spans="1:6" x14ac:dyDescent="0.25">
      <c r="A1340" s="8" t="str" cm="1">
        <f t="array" aca="1" ref="A1340" ca="1">IF(INDIRECT("'Student_Record 1'!A" &amp; ROW())="", "", INDIRECT("'Student_Record 1'!A" &amp; ROW()))</f>
        <v/>
      </c>
      <c r="B1340" s="8" t="str" cm="1">
        <f t="array" aca="1" ref="B1340" ca="1">IF(INDIRECT("'Student_Record 1'!C" &amp; ROW())="", "", INDIRECT("'Student_Record 1'!C" &amp; ROW()))</f>
        <v/>
      </c>
      <c r="C1340" s="8" t="str" cm="1">
        <f t="array" aca="1" ref="C1340" ca="1">IF(INDIRECT("'Student_Record 1'!E" &amp; ROW())="", "", INDIRECT("'Student_Record 1'!E" &amp; ROW()))</f>
        <v/>
      </c>
      <c r="D1340" s="8" t="str" cm="1">
        <f t="array" aca="1" ref="D1340" ca="1">IF(INDIRECT("'Student_Record 1'!G" &amp; ROW())="", "", INDIRECT("'Student_Record 1'!G" &amp; ROW()))</f>
        <v/>
      </c>
      <c r="E1340" s="8" t="str" cm="1">
        <f t="array" aca="1" ref="E1340" ca="1">IF(INDIRECT("'Student_Record 1'!I" &amp; ROW())="", "", INDIRECT("'Student_Record 1'!I" &amp; ROW()))</f>
        <v/>
      </c>
      <c r="F1340" s="8" t="str" cm="1">
        <f t="array" aca="1" ref="F1340" ca="1">IF(INDIRECT("'Student_Record 1'!O" &amp; ROW())="", "", INDIRECT("'Student_Record 1'!O" &amp; ROW()))</f>
        <v/>
      </c>
    </row>
    <row r="1341" spans="1:6" x14ac:dyDescent="0.25">
      <c r="A1341" s="8" t="str" cm="1">
        <f t="array" aca="1" ref="A1341" ca="1">IF(INDIRECT("'Student_Record 1'!A" &amp; ROW())="", "", INDIRECT("'Student_Record 1'!A" &amp; ROW()))</f>
        <v/>
      </c>
      <c r="B1341" s="8" t="str" cm="1">
        <f t="array" aca="1" ref="B1341" ca="1">IF(INDIRECT("'Student_Record 1'!C" &amp; ROW())="", "", INDIRECT("'Student_Record 1'!C" &amp; ROW()))</f>
        <v/>
      </c>
      <c r="C1341" s="8" t="str" cm="1">
        <f t="array" aca="1" ref="C1341" ca="1">IF(INDIRECT("'Student_Record 1'!E" &amp; ROW())="", "", INDIRECT("'Student_Record 1'!E" &amp; ROW()))</f>
        <v/>
      </c>
      <c r="D1341" s="8" t="str" cm="1">
        <f t="array" aca="1" ref="D1341" ca="1">IF(INDIRECT("'Student_Record 1'!G" &amp; ROW())="", "", INDIRECT("'Student_Record 1'!G" &amp; ROW()))</f>
        <v/>
      </c>
      <c r="E1341" s="8" t="str" cm="1">
        <f t="array" aca="1" ref="E1341" ca="1">IF(INDIRECT("'Student_Record 1'!I" &amp; ROW())="", "", INDIRECT("'Student_Record 1'!I" &amp; ROW()))</f>
        <v/>
      </c>
      <c r="F1341" s="8" t="str" cm="1">
        <f t="array" aca="1" ref="F1341" ca="1">IF(INDIRECT("'Student_Record 1'!O" &amp; ROW())="", "", INDIRECT("'Student_Record 1'!O" &amp; ROW()))</f>
        <v/>
      </c>
    </row>
    <row r="1342" spans="1:6" x14ac:dyDescent="0.25">
      <c r="A1342" s="8" t="str" cm="1">
        <f t="array" aca="1" ref="A1342" ca="1">IF(INDIRECT("'Student_Record 1'!A" &amp; ROW())="", "", INDIRECT("'Student_Record 1'!A" &amp; ROW()))</f>
        <v/>
      </c>
      <c r="B1342" s="8" t="str" cm="1">
        <f t="array" aca="1" ref="B1342" ca="1">IF(INDIRECT("'Student_Record 1'!C" &amp; ROW())="", "", INDIRECT("'Student_Record 1'!C" &amp; ROW()))</f>
        <v/>
      </c>
      <c r="C1342" s="8" t="str" cm="1">
        <f t="array" aca="1" ref="C1342" ca="1">IF(INDIRECT("'Student_Record 1'!E" &amp; ROW())="", "", INDIRECT("'Student_Record 1'!E" &amp; ROW()))</f>
        <v/>
      </c>
      <c r="D1342" s="8" t="str" cm="1">
        <f t="array" aca="1" ref="D1342" ca="1">IF(INDIRECT("'Student_Record 1'!G" &amp; ROW())="", "", INDIRECT("'Student_Record 1'!G" &amp; ROW()))</f>
        <v/>
      </c>
      <c r="E1342" s="8" t="str" cm="1">
        <f t="array" aca="1" ref="E1342" ca="1">IF(INDIRECT("'Student_Record 1'!I" &amp; ROW())="", "", INDIRECT("'Student_Record 1'!I" &amp; ROW()))</f>
        <v/>
      </c>
      <c r="F1342" s="8" t="str" cm="1">
        <f t="array" aca="1" ref="F1342" ca="1">IF(INDIRECT("'Student_Record 1'!O" &amp; ROW())="", "", INDIRECT("'Student_Record 1'!O" &amp; ROW()))</f>
        <v/>
      </c>
    </row>
    <row r="1343" spans="1:6" x14ac:dyDescent="0.25">
      <c r="A1343" s="8" t="str" cm="1">
        <f t="array" aca="1" ref="A1343" ca="1">IF(INDIRECT("'Student_Record 1'!A" &amp; ROW())="", "", INDIRECT("'Student_Record 1'!A" &amp; ROW()))</f>
        <v/>
      </c>
      <c r="B1343" s="8" t="str" cm="1">
        <f t="array" aca="1" ref="B1343" ca="1">IF(INDIRECT("'Student_Record 1'!C" &amp; ROW())="", "", INDIRECT("'Student_Record 1'!C" &amp; ROW()))</f>
        <v/>
      </c>
      <c r="C1343" s="8" t="str" cm="1">
        <f t="array" aca="1" ref="C1343" ca="1">IF(INDIRECT("'Student_Record 1'!E" &amp; ROW())="", "", INDIRECT("'Student_Record 1'!E" &amp; ROW()))</f>
        <v/>
      </c>
      <c r="D1343" s="8" t="str" cm="1">
        <f t="array" aca="1" ref="D1343" ca="1">IF(INDIRECT("'Student_Record 1'!G" &amp; ROW())="", "", INDIRECT("'Student_Record 1'!G" &amp; ROW()))</f>
        <v/>
      </c>
      <c r="E1343" s="8" t="str" cm="1">
        <f t="array" aca="1" ref="E1343" ca="1">IF(INDIRECT("'Student_Record 1'!I" &amp; ROW())="", "", INDIRECT("'Student_Record 1'!I" &amp; ROW()))</f>
        <v/>
      </c>
      <c r="F1343" s="8" t="str" cm="1">
        <f t="array" aca="1" ref="F1343" ca="1">IF(INDIRECT("'Student_Record 1'!O" &amp; ROW())="", "", INDIRECT("'Student_Record 1'!O" &amp; ROW()))</f>
        <v/>
      </c>
    </row>
    <row r="1344" spans="1:6" x14ac:dyDescent="0.25">
      <c r="A1344" s="8" t="str" cm="1">
        <f t="array" aca="1" ref="A1344" ca="1">IF(INDIRECT("'Student_Record 1'!A" &amp; ROW())="", "", INDIRECT("'Student_Record 1'!A" &amp; ROW()))</f>
        <v/>
      </c>
      <c r="B1344" s="8" t="str" cm="1">
        <f t="array" aca="1" ref="B1344" ca="1">IF(INDIRECT("'Student_Record 1'!C" &amp; ROW())="", "", INDIRECT("'Student_Record 1'!C" &amp; ROW()))</f>
        <v/>
      </c>
      <c r="C1344" s="8" t="str" cm="1">
        <f t="array" aca="1" ref="C1344" ca="1">IF(INDIRECT("'Student_Record 1'!E" &amp; ROW())="", "", INDIRECT("'Student_Record 1'!E" &amp; ROW()))</f>
        <v/>
      </c>
      <c r="D1344" s="8" t="str" cm="1">
        <f t="array" aca="1" ref="D1344" ca="1">IF(INDIRECT("'Student_Record 1'!G" &amp; ROW())="", "", INDIRECT("'Student_Record 1'!G" &amp; ROW()))</f>
        <v/>
      </c>
      <c r="E1344" s="8" t="str" cm="1">
        <f t="array" aca="1" ref="E1344" ca="1">IF(INDIRECT("'Student_Record 1'!I" &amp; ROW())="", "", INDIRECT("'Student_Record 1'!I" &amp; ROW()))</f>
        <v/>
      </c>
      <c r="F1344" s="8" t="str" cm="1">
        <f t="array" aca="1" ref="F1344" ca="1">IF(INDIRECT("'Student_Record 1'!O" &amp; ROW())="", "", INDIRECT("'Student_Record 1'!O" &amp; ROW()))</f>
        <v/>
      </c>
    </row>
    <row r="1345" spans="1:6" x14ac:dyDescent="0.25">
      <c r="A1345" s="8" t="str" cm="1">
        <f t="array" aca="1" ref="A1345" ca="1">IF(INDIRECT("'Student_Record 1'!A" &amp; ROW())="", "", INDIRECT("'Student_Record 1'!A" &amp; ROW()))</f>
        <v/>
      </c>
      <c r="B1345" s="8" t="str" cm="1">
        <f t="array" aca="1" ref="B1345" ca="1">IF(INDIRECT("'Student_Record 1'!C" &amp; ROW())="", "", INDIRECT("'Student_Record 1'!C" &amp; ROW()))</f>
        <v/>
      </c>
      <c r="C1345" s="8" t="str" cm="1">
        <f t="array" aca="1" ref="C1345" ca="1">IF(INDIRECT("'Student_Record 1'!E" &amp; ROW())="", "", INDIRECT("'Student_Record 1'!E" &amp; ROW()))</f>
        <v/>
      </c>
      <c r="D1345" s="8" t="str" cm="1">
        <f t="array" aca="1" ref="D1345" ca="1">IF(INDIRECT("'Student_Record 1'!G" &amp; ROW())="", "", INDIRECT("'Student_Record 1'!G" &amp; ROW()))</f>
        <v/>
      </c>
      <c r="E1345" s="8" t="str" cm="1">
        <f t="array" aca="1" ref="E1345" ca="1">IF(INDIRECT("'Student_Record 1'!I" &amp; ROW())="", "", INDIRECT("'Student_Record 1'!I" &amp; ROW()))</f>
        <v/>
      </c>
      <c r="F1345" s="8" t="str" cm="1">
        <f t="array" aca="1" ref="F1345" ca="1">IF(INDIRECT("'Student_Record 1'!O" &amp; ROW())="", "", INDIRECT("'Student_Record 1'!O" &amp; ROW()))</f>
        <v/>
      </c>
    </row>
    <row r="1346" spans="1:6" x14ac:dyDescent="0.25">
      <c r="A1346" s="8" t="str" cm="1">
        <f t="array" aca="1" ref="A1346" ca="1">IF(INDIRECT("'Student_Record 1'!A" &amp; ROW())="", "", INDIRECT("'Student_Record 1'!A" &amp; ROW()))</f>
        <v/>
      </c>
      <c r="B1346" s="8" t="str" cm="1">
        <f t="array" aca="1" ref="B1346" ca="1">IF(INDIRECT("'Student_Record 1'!C" &amp; ROW())="", "", INDIRECT("'Student_Record 1'!C" &amp; ROW()))</f>
        <v/>
      </c>
      <c r="C1346" s="8" t="str" cm="1">
        <f t="array" aca="1" ref="C1346" ca="1">IF(INDIRECT("'Student_Record 1'!E" &amp; ROW())="", "", INDIRECT("'Student_Record 1'!E" &amp; ROW()))</f>
        <v/>
      </c>
      <c r="D1346" s="8" t="str" cm="1">
        <f t="array" aca="1" ref="D1346" ca="1">IF(INDIRECT("'Student_Record 1'!G" &amp; ROW())="", "", INDIRECT("'Student_Record 1'!G" &amp; ROW()))</f>
        <v/>
      </c>
      <c r="E1346" s="8" t="str" cm="1">
        <f t="array" aca="1" ref="E1346" ca="1">IF(INDIRECT("'Student_Record 1'!I" &amp; ROW())="", "", INDIRECT("'Student_Record 1'!I" &amp; ROW()))</f>
        <v/>
      </c>
      <c r="F1346" s="8" t="str" cm="1">
        <f t="array" aca="1" ref="F1346" ca="1">IF(INDIRECT("'Student_Record 1'!O" &amp; ROW())="", "", INDIRECT("'Student_Record 1'!O" &amp; ROW()))</f>
        <v/>
      </c>
    </row>
    <row r="1347" spans="1:6" x14ac:dyDescent="0.25">
      <c r="A1347" s="8" t="str" cm="1">
        <f t="array" aca="1" ref="A1347" ca="1">IF(INDIRECT("'Student_Record 1'!A" &amp; ROW())="", "", INDIRECT("'Student_Record 1'!A" &amp; ROW()))</f>
        <v/>
      </c>
      <c r="B1347" s="8" t="str" cm="1">
        <f t="array" aca="1" ref="B1347" ca="1">IF(INDIRECT("'Student_Record 1'!C" &amp; ROW())="", "", INDIRECT("'Student_Record 1'!C" &amp; ROW()))</f>
        <v/>
      </c>
      <c r="C1347" s="8" t="str" cm="1">
        <f t="array" aca="1" ref="C1347" ca="1">IF(INDIRECT("'Student_Record 1'!E" &amp; ROW())="", "", INDIRECT("'Student_Record 1'!E" &amp; ROW()))</f>
        <v/>
      </c>
      <c r="D1347" s="8" t="str" cm="1">
        <f t="array" aca="1" ref="D1347" ca="1">IF(INDIRECT("'Student_Record 1'!G" &amp; ROW())="", "", INDIRECT("'Student_Record 1'!G" &amp; ROW()))</f>
        <v/>
      </c>
      <c r="E1347" s="8" t="str" cm="1">
        <f t="array" aca="1" ref="E1347" ca="1">IF(INDIRECT("'Student_Record 1'!I" &amp; ROW())="", "", INDIRECT("'Student_Record 1'!I" &amp; ROW()))</f>
        <v/>
      </c>
      <c r="F1347" s="8" t="str" cm="1">
        <f t="array" aca="1" ref="F1347" ca="1">IF(INDIRECT("'Student_Record 1'!O" &amp; ROW())="", "", INDIRECT("'Student_Record 1'!O" &amp; ROW()))</f>
        <v/>
      </c>
    </row>
    <row r="1348" spans="1:6" x14ac:dyDescent="0.25">
      <c r="A1348" s="8" t="str" cm="1">
        <f t="array" aca="1" ref="A1348" ca="1">IF(INDIRECT("'Student_Record 1'!A" &amp; ROW())="", "", INDIRECT("'Student_Record 1'!A" &amp; ROW()))</f>
        <v/>
      </c>
      <c r="B1348" s="8" t="str" cm="1">
        <f t="array" aca="1" ref="B1348" ca="1">IF(INDIRECT("'Student_Record 1'!C" &amp; ROW())="", "", INDIRECT("'Student_Record 1'!C" &amp; ROW()))</f>
        <v/>
      </c>
      <c r="C1348" s="8" t="str" cm="1">
        <f t="array" aca="1" ref="C1348" ca="1">IF(INDIRECT("'Student_Record 1'!E" &amp; ROW())="", "", INDIRECT("'Student_Record 1'!E" &amp; ROW()))</f>
        <v/>
      </c>
      <c r="D1348" s="8" t="str" cm="1">
        <f t="array" aca="1" ref="D1348" ca="1">IF(INDIRECT("'Student_Record 1'!G" &amp; ROW())="", "", INDIRECT("'Student_Record 1'!G" &amp; ROW()))</f>
        <v/>
      </c>
      <c r="E1348" s="8" t="str" cm="1">
        <f t="array" aca="1" ref="E1348" ca="1">IF(INDIRECT("'Student_Record 1'!I" &amp; ROW())="", "", INDIRECT("'Student_Record 1'!I" &amp; ROW()))</f>
        <v/>
      </c>
      <c r="F1348" s="8" t="str" cm="1">
        <f t="array" aca="1" ref="F1348" ca="1">IF(INDIRECT("'Student_Record 1'!O" &amp; ROW())="", "", INDIRECT("'Student_Record 1'!O" &amp; ROW()))</f>
        <v/>
      </c>
    </row>
    <row r="1349" spans="1:6" x14ac:dyDescent="0.25">
      <c r="A1349" s="8" t="str" cm="1">
        <f t="array" aca="1" ref="A1349" ca="1">IF(INDIRECT("'Student_Record 1'!A" &amp; ROW())="", "", INDIRECT("'Student_Record 1'!A" &amp; ROW()))</f>
        <v/>
      </c>
      <c r="B1349" s="8" t="str" cm="1">
        <f t="array" aca="1" ref="B1349" ca="1">IF(INDIRECT("'Student_Record 1'!C" &amp; ROW())="", "", INDIRECT("'Student_Record 1'!C" &amp; ROW()))</f>
        <v/>
      </c>
      <c r="C1349" s="8" t="str" cm="1">
        <f t="array" aca="1" ref="C1349" ca="1">IF(INDIRECT("'Student_Record 1'!E" &amp; ROW())="", "", INDIRECT("'Student_Record 1'!E" &amp; ROW()))</f>
        <v/>
      </c>
      <c r="D1349" s="8" t="str" cm="1">
        <f t="array" aca="1" ref="D1349" ca="1">IF(INDIRECT("'Student_Record 1'!G" &amp; ROW())="", "", INDIRECT("'Student_Record 1'!G" &amp; ROW()))</f>
        <v/>
      </c>
      <c r="E1349" s="8" t="str" cm="1">
        <f t="array" aca="1" ref="E1349" ca="1">IF(INDIRECT("'Student_Record 1'!I" &amp; ROW())="", "", INDIRECT("'Student_Record 1'!I" &amp; ROW()))</f>
        <v/>
      </c>
      <c r="F1349" s="8" t="str" cm="1">
        <f t="array" aca="1" ref="F1349" ca="1">IF(INDIRECT("'Student_Record 1'!O" &amp; ROW())="", "", INDIRECT("'Student_Record 1'!O" &amp; ROW()))</f>
        <v/>
      </c>
    </row>
    <row r="1350" spans="1:6" x14ac:dyDescent="0.25">
      <c r="A1350" s="8" t="str" cm="1">
        <f t="array" aca="1" ref="A1350" ca="1">IF(INDIRECT("'Student_Record 1'!A" &amp; ROW())="", "", INDIRECT("'Student_Record 1'!A" &amp; ROW()))</f>
        <v/>
      </c>
      <c r="B1350" s="8" t="str" cm="1">
        <f t="array" aca="1" ref="B1350" ca="1">IF(INDIRECT("'Student_Record 1'!C" &amp; ROW())="", "", INDIRECT("'Student_Record 1'!C" &amp; ROW()))</f>
        <v/>
      </c>
      <c r="C1350" s="8" t="str" cm="1">
        <f t="array" aca="1" ref="C1350" ca="1">IF(INDIRECT("'Student_Record 1'!E" &amp; ROW())="", "", INDIRECT("'Student_Record 1'!E" &amp; ROW()))</f>
        <v/>
      </c>
      <c r="D1350" s="8" t="str" cm="1">
        <f t="array" aca="1" ref="D1350" ca="1">IF(INDIRECT("'Student_Record 1'!G" &amp; ROW())="", "", INDIRECT("'Student_Record 1'!G" &amp; ROW()))</f>
        <v/>
      </c>
      <c r="E1350" s="8" t="str" cm="1">
        <f t="array" aca="1" ref="E1350" ca="1">IF(INDIRECT("'Student_Record 1'!I" &amp; ROW())="", "", INDIRECT("'Student_Record 1'!I" &amp; ROW()))</f>
        <v/>
      </c>
      <c r="F1350" s="8" t="str" cm="1">
        <f t="array" aca="1" ref="F1350" ca="1">IF(INDIRECT("'Student_Record 1'!O" &amp; ROW())="", "", INDIRECT("'Student_Record 1'!O" &amp; ROW()))</f>
        <v/>
      </c>
    </row>
    <row r="1351" spans="1:6" x14ac:dyDescent="0.25">
      <c r="A1351" s="8" t="str" cm="1">
        <f t="array" aca="1" ref="A1351" ca="1">IF(INDIRECT("'Student_Record 1'!A" &amp; ROW())="", "", INDIRECT("'Student_Record 1'!A" &amp; ROW()))</f>
        <v/>
      </c>
      <c r="B1351" s="8" t="str" cm="1">
        <f t="array" aca="1" ref="B1351" ca="1">IF(INDIRECT("'Student_Record 1'!C" &amp; ROW())="", "", INDIRECT("'Student_Record 1'!C" &amp; ROW()))</f>
        <v/>
      </c>
      <c r="C1351" s="8" t="str" cm="1">
        <f t="array" aca="1" ref="C1351" ca="1">IF(INDIRECT("'Student_Record 1'!E" &amp; ROW())="", "", INDIRECT("'Student_Record 1'!E" &amp; ROW()))</f>
        <v/>
      </c>
      <c r="D1351" s="8" t="str" cm="1">
        <f t="array" aca="1" ref="D1351" ca="1">IF(INDIRECT("'Student_Record 1'!G" &amp; ROW())="", "", INDIRECT("'Student_Record 1'!G" &amp; ROW()))</f>
        <v/>
      </c>
      <c r="E1351" s="8" t="str" cm="1">
        <f t="array" aca="1" ref="E1351" ca="1">IF(INDIRECT("'Student_Record 1'!I" &amp; ROW())="", "", INDIRECT("'Student_Record 1'!I" &amp; ROW()))</f>
        <v/>
      </c>
      <c r="F1351" s="8" t="str" cm="1">
        <f t="array" aca="1" ref="F1351" ca="1">IF(INDIRECT("'Student_Record 1'!O" &amp; ROW())="", "", INDIRECT("'Student_Record 1'!O" &amp; ROW()))</f>
        <v/>
      </c>
    </row>
    <row r="1352" spans="1:6" x14ac:dyDescent="0.25">
      <c r="A1352" s="8" t="str" cm="1">
        <f t="array" aca="1" ref="A1352" ca="1">IF(INDIRECT("'Student_Record 1'!A" &amp; ROW())="", "", INDIRECT("'Student_Record 1'!A" &amp; ROW()))</f>
        <v/>
      </c>
      <c r="B1352" s="8" t="str" cm="1">
        <f t="array" aca="1" ref="B1352" ca="1">IF(INDIRECT("'Student_Record 1'!C" &amp; ROW())="", "", INDIRECT("'Student_Record 1'!C" &amp; ROW()))</f>
        <v/>
      </c>
      <c r="C1352" s="8" t="str" cm="1">
        <f t="array" aca="1" ref="C1352" ca="1">IF(INDIRECT("'Student_Record 1'!E" &amp; ROW())="", "", INDIRECT("'Student_Record 1'!E" &amp; ROW()))</f>
        <v/>
      </c>
      <c r="D1352" s="8" t="str" cm="1">
        <f t="array" aca="1" ref="D1352" ca="1">IF(INDIRECT("'Student_Record 1'!G" &amp; ROW())="", "", INDIRECT("'Student_Record 1'!G" &amp; ROW()))</f>
        <v/>
      </c>
      <c r="E1352" s="8" t="str" cm="1">
        <f t="array" aca="1" ref="E1352" ca="1">IF(INDIRECT("'Student_Record 1'!I" &amp; ROW())="", "", INDIRECT("'Student_Record 1'!I" &amp; ROW()))</f>
        <v/>
      </c>
      <c r="F1352" s="8" t="str" cm="1">
        <f t="array" aca="1" ref="F1352" ca="1">IF(INDIRECT("'Student_Record 1'!O" &amp; ROW())="", "", INDIRECT("'Student_Record 1'!O" &amp; ROW()))</f>
        <v/>
      </c>
    </row>
    <row r="1353" spans="1:6" x14ac:dyDescent="0.25">
      <c r="A1353" s="8" t="str" cm="1">
        <f t="array" aca="1" ref="A1353" ca="1">IF(INDIRECT("'Student_Record 1'!A" &amp; ROW())="", "", INDIRECT("'Student_Record 1'!A" &amp; ROW()))</f>
        <v/>
      </c>
      <c r="B1353" s="8" t="str" cm="1">
        <f t="array" aca="1" ref="B1353" ca="1">IF(INDIRECT("'Student_Record 1'!C" &amp; ROW())="", "", INDIRECT("'Student_Record 1'!C" &amp; ROW()))</f>
        <v/>
      </c>
      <c r="C1353" s="8" t="str" cm="1">
        <f t="array" aca="1" ref="C1353" ca="1">IF(INDIRECT("'Student_Record 1'!E" &amp; ROW())="", "", INDIRECT("'Student_Record 1'!E" &amp; ROW()))</f>
        <v/>
      </c>
      <c r="D1353" s="8" t="str" cm="1">
        <f t="array" aca="1" ref="D1353" ca="1">IF(INDIRECT("'Student_Record 1'!G" &amp; ROW())="", "", INDIRECT("'Student_Record 1'!G" &amp; ROW()))</f>
        <v/>
      </c>
      <c r="E1353" s="8" t="str" cm="1">
        <f t="array" aca="1" ref="E1353" ca="1">IF(INDIRECT("'Student_Record 1'!I" &amp; ROW())="", "", INDIRECT("'Student_Record 1'!I" &amp; ROW()))</f>
        <v/>
      </c>
      <c r="F1353" s="8" t="str" cm="1">
        <f t="array" aca="1" ref="F1353" ca="1">IF(INDIRECT("'Student_Record 1'!O" &amp; ROW())="", "", INDIRECT("'Student_Record 1'!O" &amp; ROW()))</f>
        <v/>
      </c>
    </row>
    <row r="1354" spans="1:6" x14ac:dyDescent="0.25">
      <c r="A1354" s="8" t="str" cm="1">
        <f t="array" aca="1" ref="A1354" ca="1">IF(INDIRECT("'Student_Record 1'!A" &amp; ROW())="", "", INDIRECT("'Student_Record 1'!A" &amp; ROW()))</f>
        <v/>
      </c>
      <c r="B1354" s="8" t="str" cm="1">
        <f t="array" aca="1" ref="B1354" ca="1">IF(INDIRECT("'Student_Record 1'!C" &amp; ROW())="", "", INDIRECT("'Student_Record 1'!C" &amp; ROW()))</f>
        <v/>
      </c>
      <c r="C1354" s="8" t="str" cm="1">
        <f t="array" aca="1" ref="C1354" ca="1">IF(INDIRECT("'Student_Record 1'!E" &amp; ROW())="", "", INDIRECT("'Student_Record 1'!E" &amp; ROW()))</f>
        <v/>
      </c>
      <c r="D1354" s="8" t="str" cm="1">
        <f t="array" aca="1" ref="D1354" ca="1">IF(INDIRECT("'Student_Record 1'!G" &amp; ROW())="", "", INDIRECT("'Student_Record 1'!G" &amp; ROW()))</f>
        <v/>
      </c>
      <c r="E1354" s="8" t="str" cm="1">
        <f t="array" aca="1" ref="E1354" ca="1">IF(INDIRECT("'Student_Record 1'!I" &amp; ROW())="", "", INDIRECT("'Student_Record 1'!I" &amp; ROW()))</f>
        <v/>
      </c>
      <c r="F1354" s="8" t="str" cm="1">
        <f t="array" aca="1" ref="F1354" ca="1">IF(INDIRECT("'Student_Record 1'!O" &amp; ROW())="", "", INDIRECT("'Student_Record 1'!O" &amp; ROW()))</f>
        <v/>
      </c>
    </row>
    <row r="1355" spans="1:6" x14ac:dyDescent="0.25">
      <c r="A1355" s="8" t="str" cm="1">
        <f t="array" aca="1" ref="A1355" ca="1">IF(INDIRECT("'Student_Record 1'!A" &amp; ROW())="", "", INDIRECT("'Student_Record 1'!A" &amp; ROW()))</f>
        <v/>
      </c>
      <c r="B1355" s="8" t="str" cm="1">
        <f t="array" aca="1" ref="B1355" ca="1">IF(INDIRECT("'Student_Record 1'!C" &amp; ROW())="", "", INDIRECT("'Student_Record 1'!C" &amp; ROW()))</f>
        <v/>
      </c>
      <c r="C1355" s="8" t="str" cm="1">
        <f t="array" aca="1" ref="C1355" ca="1">IF(INDIRECT("'Student_Record 1'!E" &amp; ROW())="", "", INDIRECT("'Student_Record 1'!E" &amp; ROW()))</f>
        <v/>
      </c>
      <c r="D1355" s="8" t="str" cm="1">
        <f t="array" aca="1" ref="D1355" ca="1">IF(INDIRECT("'Student_Record 1'!G" &amp; ROW())="", "", INDIRECT("'Student_Record 1'!G" &amp; ROW()))</f>
        <v/>
      </c>
      <c r="E1355" s="8" t="str" cm="1">
        <f t="array" aca="1" ref="E1355" ca="1">IF(INDIRECT("'Student_Record 1'!I" &amp; ROW())="", "", INDIRECT("'Student_Record 1'!I" &amp; ROW()))</f>
        <v/>
      </c>
      <c r="F1355" s="8" t="str" cm="1">
        <f t="array" aca="1" ref="F1355" ca="1">IF(INDIRECT("'Student_Record 1'!O" &amp; ROW())="", "", INDIRECT("'Student_Record 1'!O" &amp; ROW()))</f>
        <v/>
      </c>
    </row>
    <row r="1356" spans="1:6" x14ac:dyDescent="0.25">
      <c r="A1356" s="8" t="str" cm="1">
        <f t="array" aca="1" ref="A1356" ca="1">IF(INDIRECT("'Student_Record 1'!A" &amp; ROW())="", "", INDIRECT("'Student_Record 1'!A" &amp; ROW()))</f>
        <v/>
      </c>
      <c r="B1356" s="8" t="str" cm="1">
        <f t="array" aca="1" ref="B1356" ca="1">IF(INDIRECT("'Student_Record 1'!C" &amp; ROW())="", "", INDIRECT("'Student_Record 1'!C" &amp; ROW()))</f>
        <v/>
      </c>
      <c r="C1356" s="8" t="str" cm="1">
        <f t="array" aca="1" ref="C1356" ca="1">IF(INDIRECT("'Student_Record 1'!E" &amp; ROW())="", "", INDIRECT("'Student_Record 1'!E" &amp; ROW()))</f>
        <v/>
      </c>
      <c r="D1356" s="8" t="str" cm="1">
        <f t="array" aca="1" ref="D1356" ca="1">IF(INDIRECT("'Student_Record 1'!G" &amp; ROW())="", "", INDIRECT("'Student_Record 1'!G" &amp; ROW()))</f>
        <v/>
      </c>
      <c r="E1356" s="8" t="str" cm="1">
        <f t="array" aca="1" ref="E1356" ca="1">IF(INDIRECT("'Student_Record 1'!I" &amp; ROW())="", "", INDIRECT("'Student_Record 1'!I" &amp; ROW()))</f>
        <v/>
      </c>
      <c r="F1356" s="8" t="str" cm="1">
        <f t="array" aca="1" ref="F1356" ca="1">IF(INDIRECT("'Student_Record 1'!O" &amp; ROW())="", "", INDIRECT("'Student_Record 1'!O" &amp; ROW()))</f>
        <v/>
      </c>
    </row>
    <row r="1357" spans="1:6" x14ac:dyDescent="0.25">
      <c r="A1357" s="8" t="str" cm="1">
        <f t="array" aca="1" ref="A1357" ca="1">IF(INDIRECT("'Student_Record 1'!A" &amp; ROW())="", "", INDIRECT("'Student_Record 1'!A" &amp; ROW()))</f>
        <v/>
      </c>
      <c r="B1357" s="8" t="str" cm="1">
        <f t="array" aca="1" ref="B1357" ca="1">IF(INDIRECT("'Student_Record 1'!C" &amp; ROW())="", "", INDIRECT("'Student_Record 1'!C" &amp; ROW()))</f>
        <v/>
      </c>
      <c r="C1357" s="8" t="str" cm="1">
        <f t="array" aca="1" ref="C1357" ca="1">IF(INDIRECT("'Student_Record 1'!E" &amp; ROW())="", "", INDIRECT("'Student_Record 1'!E" &amp; ROW()))</f>
        <v/>
      </c>
      <c r="D1357" s="8" t="str" cm="1">
        <f t="array" aca="1" ref="D1357" ca="1">IF(INDIRECT("'Student_Record 1'!G" &amp; ROW())="", "", INDIRECT("'Student_Record 1'!G" &amp; ROW()))</f>
        <v/>
      </c>
      <c r="E1357" s="8" t="str" cm="1">
        <f t="array" aca="1" ref="E1357" ca="1">IF(INDIRECT("'Student_Record 1'!I" &amp; ROW())="", "", INDIRECT("'Student_Record 1'!I" &amp; ROW()))</f>
        <v/>
      </c>
      <c r="F1357" s="8" t="str" cm="1">
        <f t="array" aca="1" ref="F1357" ca="1">IF(INDIRECT("'Student_Record 1'!O" &amp; ROW())="", "", INDIRECT("'Student_Record 1'!O" &amp; ROW()))</f>
        <v/>
      </c>
    </row>
    <row r="1358" spans="1:6" x14ac:dyDescent="0.25">
      <c r="A1358" s="8" t="str" cm="1">
        <f t="array" aca="1" ref="A1358" ca="1">IF(INDIRECT("'Student_Record 1'!A" &amp; ROW())="", "", INDIRECT("'Student_Record 1'!A" &amp; ROW()))</f>
        <v/>
      </c>
      <c r="B1358" s="8" t="str" cm="1">
        <f t="array" aca="1" ref="B1358" ca="1">IF(INDIRECT("'Student_Record 1'!C" &amp; ROW())="", "", INDIRECT("'Student_Record 1'!C" &amp; ROW()))</f>
        <v/>
      </c>
      <c r="C1358" s="8" t="str" cm="1">
        <f t="array" aca="1" ref="C1358" ca="1">IF(INDIRECT("'Student_Record 1'!E" &amp; ROW())="", "", INDIRECT("'Student_Record 1'!E" &amp; ROW()))</f>
        <v/>
      </c>
      <c r="D1358" s="8" t="str" cm="1">
        <f t="array" aca="1" ref="D1358" ca="1">IF(INDIRECT("'Student_Record 1'!G" &amp; ROW())="", "", INDIRECT("'Student_Record 1'!G" &amp; ROW()))</f>
        <v/>
      </c>
      <c r="E1358" s="8" t="str" cm="1">
        <f t="array" aca="1" ref="E1358" ca="1">IF(INDIRECT("'Student_Record 1'!I" &amp; ROW())="", "", INDIRECT("'Student_Record 1'!I" &amp; ROW()))</f>
        <v/>
      </c>
      <c r="F1358" s="8" t="str" cm="1">
        <f t="array" aca="1" ref="F1358" ca="1">IF(INDIRECT("'Student_Record 1'!O" &amp; ROW())="", "", INDIRECT("'Student_Record 1'!O" &amp; ROW()))</f>
        <v/>
      </c>
    </row>
    <row r="1359" spans="1:6" x14ac:dyDescent="0.25">
      <c r="A1359" s="8" t="str" cm="1">
        <f t="array" aca="1" ref="A1359" ca="1">IF(INDIRECT("'Student_Record 1'!A" &amp; ROW())="", "", INDIRECT("'Student_Record 1'!A" &amp; ROW()))</f>
        <v/>
      </c>
      <c r="B1359" s="8" t="str" cm="1">
        <f t="array" aca="1" ref="B1359" ca="1">IF(INDIRECT("'Student_Record 1'!C" &amp; ROW())="", "", INDIRECT("'Student_Record 1'!C" &amp; ROW()))</f>
        <v/>
      </c>
      <c r="C1359" s="8" t="str" cm="1">
        <f t="array" aca="1" ref="C1359" ca="1">IF(INDIRECT("'Student_Record 1'!E" &amp; ROW())="", "", INDIRECT("'Student_Record 1'!E" &amp; ROW()))</f>
        <v/>
      </c>
      <c r="D1359" s="8" t="str" cm="1">
        <f t="array" aca="1" ref="D1359" ca="1">IF(INDIRECT("'Student_Record 1'!G" &amp; ROW())="", "", INDIRECT("'Student_Record 1'!G" &amp; ROW()))</f>
        <v/>
      </c>
      <c r="E1359" s="8" t="str" cm="1">
        <f t="array" aca="1" ref="E1359" ca="1">IF(INDIRECT("'Student_Record 1'!I" &amp; ROW())="", "", INDIRECT("'Student_Record 1'!I" &amp; ROW()))</f>
        <v/>
      </c>
      <c r="F1359" s="8" t="str" cm="1">
        <f t="array" aca="1" ref="F1359" ca="1">IF(INDIRECT("'Student_Record 1'!O" &amp; ROW())="", "", INDIRECT("'Student_Record 1'!O" &amp; ROW()))</f>
        <v/>
      </c>
    </row>
    <row r="1360" spans="1:6" x14ac:dyDescent="0.25">
      <c r="A1360" s="8" t="str" cm="1">
        <f t="array" aca="1" ref="A1360" ca="1">IF(INDIRECT("'Student_Record 1'!A" &amp; ROW())="", "", INDIRECT("'Student_Record 1'!A" &amp; ROW()))</f>
        <v/>
      </c>
      <c r="B1360" s="8" t="str" cm="1">
        <f t="array" aca="1" ref="B1360" ca="1">IF(INDIRECT("'Student_Record 1'!C" &amp; ROW())="", "", INDIRECT("'Student_Record 1'!C" &amp; ROW()))</f>
        <v/>
      </c>
      <c r="C1360" s="8" t="str" cm="1">
        <f t="array" aca="1" ref="C1360" ca="1">IF(INDIRECT("'Student_Record 1'!E" &amp; ROW())="", "", INDIRECT("'Student_Record 1'!E" &amp; ROW()))</f>
        <v/>
      </c>
      <c r="D1360" s="8" t="str" cm="1">
        <f t="array" aca="1" ref="D1360" ca="1">IF(INDIRECT("'Student_Record 1'!G" &amp; ROW())="", "", INDIRECT("'Student_Record 1'!G" &amp; ROW()))</f>
        <v/>
      </c>
      <c r="E1360" s="8" t="str" cm="1">
        <f t="array" aca="1" ref="E1360" ca="1">IF(INDIRECT("'Student_Record 1'!I" &amp; ROW())="", "", INDIRECT("'Student_Record 1'!I" &amp; ROW()))</f>
        <v/>
      </c>
      <c r="F1360" s="8" t="str" cm="1">
        <f t="array" aca="1" ref="F1360" ca="1">IF(INDIRECT("'Student_Record 1'!O" &amp; ROW())="", "", INDIRECT("'Student_Record 1'!O" &amp; ROW()))</f>
        <v/>
      </c>
    </row>
    <row r="1361" spans="1:6" x14ac:dyDescent="0.25">
      <c r="A1361" s="8" t="str" cm="1">
        <f t="array" aca="1" ref="A1361" ca="1">IF(INDIRECT("'Student_Record 1'!A" &amp; ROW())="", "", INDIRECT("'Student_Record 1'!A" &amp; ROW()))</f>
        <v/>
      </c>
      <c r="B1361" s="8" t="str" cm="1">
        <f t="array" aca="1" ref="B1361" ca="1">IF(INDIRECT("'Student_Record 1'!C" &amp; ROW())="", "", INDIRECT("'Student_Record 1'!C" &amp; ROW()))</f>
        <v/>
      </c>
      <c r="C1361" s="8" t="str" cm="1">
        <f t="array" aca="1" ref="C1361" ca="1">IF(INDIRECT("'Student_Record 1'!E" &amp; ROW())="", "", INDIRECT("'Student_Record 1'!E" &amp; ROW()))</f>
        <v/>
      </c>
      <c r="D1361" s="8" t="str" cm="1">
        <f t="array" aca="1" ref="D1361" ca="1">IF(INDIRECT("'Student_Record 1'!G" &amp; ROW())="", "", INDIRECT("'Student_Record 1'!G" &amp; ROW()))</f>
        <v/>
      </c>
      <c r="E1361" s="8" t="str" cm="1">
        <f t="array" aca="1" ref="E1361" ca="1">IF(INDIRECT("'Student_Record 1'!I" &amp; ROW())="", "", INDIRECT("'Student_Record 1'!I" &amp; ROW()))</f>
        <v/>
      </c>
      <c r="F1361" s="8" t="str" cm="1">
        <f t="array" aca="1" ref="F1361" ca="1">IF(INDIRECT("'Student_Record 1'!O" &amp; ROW())="", "", INDIRECT("'Student_Record 1'!O" &amp; ROW()))</f>
        <v/>
      </c>
    </row>
    <row r="1362" spans="1:6" x14ac:dyDescent="0.25">
      <c r="A1362" s="8" t="str" cm="1">
        <f t="array" aca="1" ref="A1362" ca="1">IF(INDIRECT("'Student_Record 1'!A" &amp; ROW())="", "", INDIRECT("'Student_Record 1'!A" &amp; ROW()))</f>
        <v/>
      </c>
      <c r="B1362" s="8" t="str" cm="1">
        <f t="array" aca="1" ref="B1362" ca="1">IF(INDIRECT("'Student_Record 1'!C" &amp; ROW())="", "", INDIRECT("'Student_Record 1'!C" &amp; ROW()))</f>
        <v/>
      </c>
      <c r="C1362" s="8" t="str" cm="1">
        <f t="array" aca="1" ref="C1362" ca="1">IF(INDIRECT("'Student_Record 1'!E" &amp; ROW())="", "", INDIRECT("'Student_Record 1'!E" &amp; ROW()))</f>
        <v/>
      </c>
      <c r="D1362" s="8" t="str" cm="1">
        <f t="array" aca="1" ref="D1362" ca="1">IF(INDIRECT("'Student_Record 1'!G" &amp; ROW())="", "", INDIRECT("'Student_Record 1'!G" &amp; ROW()))</f>
        <v/>
      </c>
      <c r="E1362" s="8" t="str" cm="1">
        <f t="array" aca="1" ref="E1362" ca="1">IF(INDIRECT("'Student_Record 1'!I" &amp; ROW())="", "", INDIRECT("'Student_Record 1'!I" &amp; ROW()))</f>
        <v/>
      </c>
      <c r="F1362" s="8" t="str" cm="1">
        <f t="array" aca="1" ref="F1362" ca="1">IF(INDIRECT("'Student_Record 1'!O" &amp; ROW())="", "", INDIRECT("'Student_Record 1'!O" &amp; ROW()))</f>
        <v/>
      </c>
    </row>
    <row r="1363" spans="1:6" x14ac:dyDescent="0.25">
      <c r="A1363" s="8" t="str" cm="1">
        <f t="array" aca="1" ref="A1363" ca="1">IF(INDIRECT("'Student_Record 1'!A" &amp; ROW())="", "", INDIRECT("'Student_Record 1'!A" &amp; ROW()))</f>
        <v/>
      </c>
      <c r="B1363" s="8" t="str" cm="1">
        <f t="array" aca="1" ref="B1363" ca="1">IF(INDIRECT("'Student_Record 1'!C" &amp; ROW())="", "", INDIRECT("'Student_Record 1'!C" &amp; ROW()))</f>
        <v/>
      </c>
      <c r="C1363" s="8" t="str" cm="1">
        <f t="array" aca="1" ref="C1363" ca="1">IF(INDIRECT("'Student_Record 1'!E" &amp; ROW())="", "", INDIRECT("'Student_Record 1'!E" &amp; ROW()))</f>
        <v/>
      </c>
      <c r="D1363" s="8" t="str" cm="1">
        <f t="array" aca="1" ref="D1363" ca="1">IF(INDIRECT("'Student_Record 1'!G" &amp; ROW())="", "", INDIRECT("'Student_Record 1'!G" &amp; ROW()))</f>
        <v/>
      </c>
      <c r="E1363" s="8" t="str" cm="1">
        <f t="array" aca="1" ref="E1363" ca="1">IF(INDIRECT("'Student_Record 1'!I" &amp; ROW())="", "", INDIRECT("'Student_Record 1'!I" &amp; ROW()))</f>
        <v/>
      </c>
      <c r="F1363" s="8" t="str" cm="1">
        <f t="array" aca="1" ref="F1363" ca="1">IF(INDIRECT("'Student_Record 1'!O" &amp; ROW())="", "", INDIRECT("'Student_Record 1'!O" &amp; ROW()))</f>
        <v/>
      </c>
    </row>
    <row r="1364" spans="1:6" x14ac:dyDescent="0.25">
      <c r="A1364" s="8" t="str" cm="1">
        <f t="array" aca="1" ref="A1364" ca="1">IF(INDIRECT("'Student_Record 1'!A" &amp; ROW())="", "", INDIRECT("'Student_Record 1'!A" &amp; ROW()))</f>
        <v/>
      </c>
      <c r="B1364" s="8" t="str" cm="1">
        <f t="array" aca="1" ref="B1364" ca="1">IF(INDIRECT("'Student_Record 1'!C" &amp; ROW())="", "", INDIRECT("'Student_Record 1'!C" &amp; ROW()))</f>
        <v/>
      </c>
      <c r="C1364" s="8" t="str" cm="1">
        <f t="array" aca="1" ref="C1364" ca="1">IF(INDIRECT("'Student_Record 1'!E" &amp; ROW())="", "", INDIRECT("'Student_Record 1'!E" &amp; ROW()))</f>
        <v/>
      </c>
      <c r="D1364" s="8" t="str" cm="1">
        <f t="array" aca="1" ref="D1364" ca="1">IF(INDIRECT("'Student_Record 1'!G" &amp; ROW())="", "", INDIRECT("'Student_Record 1'!G" &amp; ROW()))</f>
        <v/>
      </c>
      <c r="E1364" s="8" t="str" cm="1">
        <f t="array" aca="1" ref="E1364" ca="1">IF(INDIRECT("'Student_Record 1'!I" &amp; ROW())="", "", INDIRECT("'Student_Record 1'!I" &amp; ROW()))</f>
        <v/>
      </c>
      <c r="F1364" s="8" t="str" cm="1">
        <f t="array" aca="1" ref="F1364" ca="1">IF(INDIRECT("'Student_Record 1'!O" &amp; ROW())="", "", INDIRECT("'Student_Record 1'!O" &amp; ROW()))</f>
        <v/>
      </c>
    </row>
    <row r="1365" spans="1:6" x14ac:dyDescent="0.25">
      <c r="A1365" s="8" t="str" cm="1">
        <f t="array" aca="1" ref="A1365" ca="1">IF(INDIRECT("'Student_Record 1'!A" &amp; ROW())="", "", INDIRECT("'Student_Record 1'!A" &amp; ROW()))</f>
        <v/>
      </c>
      <c r="B1365" s="8" t="str" cm="1">
        <f t="array" aca="1" ref="B1365" ca="1">IF(INDIRECT("'Student_Record 1'!C" &amp; ROW())="", "", INDIRECT("'Student_Record 1'!C" &amp; ROW()))</f>
        <v/>
      </c>
      <c r="C1365" s="8" t="str" cm="1">
        <f t="array" aca="1" ref="C1365" ca="1">IF(INDIRECT("'Student_Record 1'!E" &amp; ROW())="", "", INDIRECT("'Student_Record 1'!E" &amp; ROW()))</f>
        <v/>
      </c>
      <c r="D1365" s="8" t="str" cm="1">
        <f t="array" aca="1" ref="D1365" ca="1">IF(INDIRECT("'Student_Record 1'!G" &amp; ROW())="", "", INDIRECT("'Student_Record 1'!G" &amp; ROW()))</f>
        <v/>
      </c>
      <c r="E1365" s="8" t="str" cm="1">
        <f t="array" aca="1" ref="E1365" ca="1">IF(INDIRECT("'Student_Record 1'!I" &amp; ROW())="", "", INDIRECT("'Student_Record 1'!I" &amp; ROW()))</f>
        <v/>
      </c>
      <c r="F1365" s="8" t="str" cm="1">
        <f t="array" aca="1" ref="F1365" ca="1">IF(INDIRECT("'Student_Record 1'!O" &amp; ROW())="", "", INDIRECT("'Student_Record 1'!O" &amp; ROW()))</f>
        <v/>
      </c>
    </row>
    <row r="1366" spans="1:6" x14ac:dyDescent="0.25">
      <c r="A1366" s="8" t="str" cm="1">
        <f t="array" aca="1" ref="A1366" ca="1">IF(INDIRECT("'Student_Record 1'!A" &amp; ROW())="", "", INDIRECT("'Student_Record 1'!A" &amp; ROW()))</f>
        <v/>
      </c>
      <c r="B1366" s="8" t="str" cm="1">
        <f t="array" aca="1" ref="B1366" ca="1">IF(INDIRECT("'Student_Record 1'!C" &amp; ROW())="", "", INDIRECT("'Student_Record 1'!C" &amp; ROW()))</f>
        <v/>
      </c>
      <c r="C1366" s="8" t="str" cm="1">
        <f t="array" aca="1" ref="C1366" ca="1">IF(INDIRECT("'Student_Record 1'!E" &amp; ROW())="", "", INDIRECT("'Student_Record 1'!E" &amp; ROW()))</f>
        <v/>
      </c>
      <c r="D1366" s="8" t="str" cm="1">
        <f t="array" aca="1" ref="D1366" ca="1">IF(INDIRECT("'Student_Record 1'!G" &amp; ROW())="", "", INDIRECT("'Student_Record 1'!G" &amp; ROW()))</f>
        <v/>
      </c>
      <c r="E1366" s="8" t="str" cm="1">
        <f t="array" aca="1" ref="E1366" ca="1">IF(INDIRECT("'Student_Record 1'!I" &amp; ROW())="", "", INDIRECT("'Student_Record 1'!I" &amp; ROW()))</f>
        <v/>
      </c>
      <c r="F1366" s="8" t="str" cm="1">
        <f t="array" aca="1" ref="F1366" ca="1">IF(INDIRECT("'Student_Record 1'!O" &amp; ROW())="", "", INDIRECT("'Student_Record 1'!O" &amp; ROW()))</f>
        <v/>
      </c>
    </row>
    <row r="1367" spans="1:6" x14ac:dyDescent="0.25">
      <c r="A1367" s="8" t="str" cm="1">
        <f t="array" aca="1" ref="A1367" ca="1">IF(INDIRECT("'Student_Record 1'!A" &amp; ROW())="", "", INDIRECT("'Student_Record 1'!A" &amp; ROW()))</f>
        <v/>
      </c>
      <c r="B1367" s="8" t="str" cm="1">
        <f t="array" aca="1" ref="B1367" ca="1">IF(INDIRECT("'Student_Record 1'!C" &amp; ROW())="", "", INDIRECT("'Student_Record 1'!C" &amp; ROW()))</f>
        <v/>
      </c>
      <c r="C1367" s="8" t="str" cm="1">
        <f t="array" aca="1" ref="C1367" ca="1">IF(INDIRECT("'Student_Record 1'!E" &amp; ROW())="", "", INDIRECT("'Student_Record 1'!E" &amp; ROW()))</f>
        <v/>
      </c>
      <c r="D1367" s="8" t="str" cm="1">
        <f t="array" aca="1" ref="D1367" ca="1">IF(INDIRECT("'Student_Record 1'!G" &amp; ROW())="", "", INDIRECT("'Student_Record 1'!G" &amp; ROW()))</f>
        <v/>
      </c>
      <c r="E1367" s="8" t="str" cm="1">
        <f t="array" aca="1" ref="E1367" ca="1">IF(INDIRECT("'Student_Record 1'!I" &amp; ROW())="", "", INDIRECT("'Student_Record 1'!I" &amp; ROW()))</f>
        <v/>
      </c>
      <c r="F1367" s="8" t="str" cm="1">
        <f t="array" aca="1" ref="F1367" ca="1">IF(INDIRECT("'Student_Record 1'!O" &amp; ROW())="", "", INDIRECT("'Student_Record 1'!O" &amp; ROW()))</f>
        <v/>
      </c>
    </row>
    <row r="1368" spans="1:6" x14ac:dyDescent="0.25">
      <c r="A1368" s="8" t="str" cm="1">
        <f t="array" aca="1" ref="A1368" ca="1">IF(INDIRECT("'Student_Record 1'!A" &amp; ROW())="", "", INDIRECT("'Student_Record 1'!A" &amp; ROW()))</f>
        <v/>
      </c>
      <c r="B1368" s="8" t="str" cm="1">
        <f t="array" aca="1" ref="B1368" ca="1">IF(INDIRECT("'Student_Record 1'!C" &amp; ROW())="", "", INDIRECT("'Student_Record 1'!C" &amp; ROW()))</f>
        <v/>
      </c>
      <c r="C1368" s="8" t="str" cm="1">
        <f t="array" aca="1" ref="C1368" ca="1">IF(INDIRECT("'Student_Record 1'!E" &amp; ROW())="", "", INDIRECT("'Student_Record 1'!E" &amp; ROW()))</f>
        <v/>
      </c>
      <c r="D1368" s="8" t="str" cm="1">
        <f t="array" aca="1" ref="D1368" ca="1">IF(INDIRECT("'Student_Record 1'!G" &amp; ROW())="", "", INDIRECT("'Student_Record 1'!G" &amp; ROW()))</f>
        <v/>
      </c>
      <c r="E1368" s="8" t="str" cm="1">
        <f t="array" aca="1" ref="E1368" ca="1">IF(INDIRECT("'Student_Record 1'!I" &amp; ROW())="", "", INDIRECT("'Student_Record 1'!I" &amp; ROW()))</f>
        <v/>
      </c>
      <c r="F1368" s="8" t="str" cm="1">
        <f t="array" aca="1" ref="F1368" ca="1">IF(INDIRECT("'Student_Record 1'!O" &amp; ROW())="", "", INDIRECT("'Student_Record 1'!O" &amp; ROW()))</f>
        <v/>
      </c>
    </row>
    <row r="1369" spans="1:6" x14ac:dyDescent="0.25">
      <c r="A1369" s="8" t="str" cm="1">
        <f t="array" aca="1" ref="A1369" ca="1">IF(INDIRECT("'Student_Record 1'!A" &amp; ROW())="", "", INDIRECT("'Student_Record 1'!A" &amp; ROW()))</f>
        <v/>
      </c>
      <c r="B1369" s="8" t="str" cm="1">
        <f t="array" aca="1" ref="B1369" ca="1">IF(INDIRECT("'Student_Record 1'!C" &amp; ROW())="", "", INDIRECT("'Student_Record 1'!C" &amp; ROW()))</f>
        <v/>
      </c>
      <c r="C1369" s="8" t="str" cm="1">
        <f t="array" aca="1" ref="C1369" ca="1">IF(INDIRECT("'Student_Record 1'!E" &amp; ROW())="", "", INDIRECT("'Student_Record 1'!E" &amp; ROW()))</f>
        <v/>
      </c>
      <c r="D1369" s="8" t="str" cm="1">
        <f t="array" aca="1" ref="D1369" ca="1">IF(INDIRECT("'Student_Record 1'!G" &amp; ROW())="", "", INDIRECT("'Student_Record 1'!G" &amp; ROW()))</f>
        <v/>
      </c>
      <c r="E1369" s="8" t="str" cm="1">
        <f t="array" aca="1" ref="E1369" ca="1">IF(INDIRECT("'Student_Record 1'!I" &amp; ROW())="", "", INDIRECT("'Student_Record 1'!I" &amp; ROW()))</f>
        <v/>
      </c>
      <c r="F1369" s="8" t="str" cm="1">
        <f t="array" aca="1" ref="F1369" ca="1">IF(INDIRECT("'Student_Record 1'!O" &amp; ROW())="", "", INDIRECT("'Student_Record 1'!O" &amp; ROW()))</f>
        <v/>
      </c>
    </row>
    <row r="1370" spans="1:6" x14ac:dyDescent="0.25">
      <c r="A1370" s="8" t="str" cm="1">
        <f t="array" aca="1" ref="A1370" ca="1">IF(INDIRECT("'Student_Record 1'!A" &amp; ROW())="", "", INDIRECT("'Student_Record 1'!A" &amp; ROW()))</f>
        <v/>
      </c>
      <c r="B1370" s="8" t="str" cm="1">
        <f t="array" aca="1" ref="B1370" ca="1">IF(INDIRECT("'Student_Record 1'!C" &amp; ROW())="", "", INDIRECT("'Student_Record 1'!C" &amp; ROW()))</f>
        <v/>
      </c>
      <c r="C1370" s="8" t="str" cm="1">
        <f t="array" aca="1" ref="C1370" ca="1">IF(INDIRECT("'Student_Record 1'!E" &amp; ROW())="", "", INDIRECT("'Student_Record 1'!E" &amp; ROW()))</f>
        <v/>
      </c>
      <c r="D1370" s="8" t="str" cm="1">
        <f t="array" aca="1" ref="D1370" ca="1">IF(INDIRECT("'Student_Record 1'!G" &amp; ROW())="", "", INDIRECT("'Student_Record 1'!G" &amp; ROW()))</f>
        <v/>
      </c>
      <c r="E1370" s="8" t="str" cm="1">
        <f t="array" aca="1" ref="E1370" ca="1">IF(INDIRECT("'Student_Record 1'!I" &amp; ROW())="", "", INDIRECT("'Student_Record 1'!I" &amp; ROW()))</f>
        <v/>
      </c>
      <c r="F1370" s="8" t="str" cm="1">
        <f t="array" aca="1" ref="F1370" ca="1">IF(INDIRECT("'Student_Record 1'!O" &amp; ROW())="", "", INDIRECT("'Student_Record 1'!O" &amp; ROW()))</f>
        <v/>
      </c>
    </row>
    <row r="1371" spans="1:6" x14ac:dyDescent="0.25">
      <c r="A1371" s="8" t="str" cm="1">
        <f t="array" aca="1" ref="A1371" ca="1">IF(INDIRECT("'Student_Record 1'!A" &amp; ROW())="", "", INDIRECT("'Student_Record 1'!A" &amp; ROW()))</f>
        <v/>
      </c>
      <c r="B1371" s="8" t="str" cm="1">
        <f t="array" aca="1" ref="B1371" ca="1">IF(INDIRECT("'Student_Record 1'!C" &amp; ROW())="", "", INDIRECT("'Student_Record 1'!C" &amp; ROW()))</f>
        <v/>
      </c>
      <c r="C1371" s="8" t="str" cm="1">
        <f t="array" aca="1" ref="C1371" ca="1">IF(INDIRECT("'Student_Record 1'!E" &amp; ROW())="", "", INDIRECT("'Student_Record 1'!E" &amp; ROW()))</f>
        <v/>
      </c>
      <c r="D1371" s="8" t="str" cm="1">
        <f t="array" aca="1" ref="D1371" ca="1">IF(INDIRECT("'Student_Record 1'!G" &amp; ROW())="", "", INDIRECT("'Student_Record 1'!G" &amp; ROW()))</f>
        <v/>
      </c>
      <c r="E1371" s="8" t="str" cm="1">
        <f t="array" aca="1" ref="E1371" ca="1">IF(INDIRECT("'Student_Record 1'!I" &amp; ROW())="", "", INDIRECT("'Student_Record 1'!I" &amp; ROW()))</f>
        <v/>
      </c>
      <c r="F1371" s="8" t="str" cm="1">
        <f t="array" aca="1" ref="F1371" ca="1">IF(INDIRECT("'Student_Record 1'!O" &amp; ROW())="", "", INDIRECT("'Student_Record 1'!O" &amp; ROW()))</f>
        <v/>
      </c>
    </row>
    <row r="1372" spans="1:6" x14ac:dyDescent="0.25">
      <c r="A1372" s="8" t="str" cm="1">
        <f t="array" aca="1" ref="A1372" ca="1">IF(INDIRECT("'Student_Record 1'!A" &amp; ROW())="", "", INDIRECT("'Student_Record 1'!A" &amp; ROW()))</f>
        <v/>
      </c>
      <c r="B1372" s="8" t="str" cm="1">
        <f t="array" aca="1" ref="B1372" ca="1">IF(INDIRECT("'Student_Record 1'!C" &amp; ROW())="", "", INDIRECT("'Student_Record 1'!C" &amp; ROW()))</f>
        <v/>
      </c>
      <c r="C1372" s="8" t="str" cm="1">
        <f t="array" aca="1" ref="C1372" ca="1">IF(INDIRECT("'Student_Record 1'!E" &amp; ROW())="", "", INDIRECT("'Student_Record 1'!E" &amp; ROW()))</f>
        <v/>
      </c>
      <c r="D1372" s="8" t="str" cm="1">
        <f t="array" aca="1" ref="D1372" ca="1">IF(INDIRECT("'Student_Record 1'!G" &amp; ROW())="", "", INDIRECT("'Student_Record 1'!G" &amp; ROW()))</f>
        <v/>
      </c>
      <c r="E1372" s="8" t="str" cm="1">
        <f t="array" aca="1" ref="E1372" ca="1">IF(INDIRECT("'Student_Record 1'!I" &amp; ROW())="", "", INDIRECT("'Student_Record 1'!I" &amp; ROW()))</f>
        <v/>
      </c>
      <c r="F1372" s="8" t="str" cm="1">
        <f t="array" aca="1" ref="F1372" ca="1">IF(INDIRECT("'Student_Record 1'!O" &amp; ROW())="", "", INDIRECT("'Student_Record 1'!O" &amp; ROW()))</f>
        <v/>
      </c>
    </row>
    <row r="1373" spans="1:6" x14ac:dyDescent="0.25">
      <c r="A1373" s="8" t="str" cm="1">
        <f t="array" aca="1" ref="A1373" ca="1">IF(INDIRECT("'Student_Record 1'!A" &amp; ROW())="", "", INDIRECT("'Student_Record 1'!A" &amp; ROW()))</f>
        <v/>
      </c>
      <c r="B1373" s="8" t="str" cm="1">
        <f t="array" aca="1" ref="B1373" ca="1">IF(INDIRECT("'Student_Record 1'!C" &amp; ROW())="", "", INDIRECT("'Student_Record 1'!C" &amp; ROW()))</f>
        <v/>
      </c>
      <c r="C1373" s="8" t="str" cm="1">
        <f t="array" aca="1" ref="C1373" ca="1">IF(INDIRECT("'Student_Record 1'!E" &amp; ROW())="", "", INDIRECT("'Student_Record 1'!E" &amp; ROW()))</f>
        <v/>
      </c>
      <c r="D1373" s="8" t="str" cm="1">
        <f t="array" aca="1" ref="D1373" ca="1">IF(INDIRECT("'Student_Record 1'!G" &amp; ROW())="", "", INDIRECT("'Student_Record 1'!G" &amp; ROW()))</f>
        <v/>
      </c>
      <c r="E1373" s="8" t="str" cm="1">
        <f t="array" aca="1" ref="E1373" ca="1">IF(INDIRECT("'Student_Record 1'!I" &amp; ROW())="", "", INDIRECT("'Student_Record 1'!I" &amp; ROW()))</f>
        <v/>
      </c>
      <c r="F1373" s="8" t="str" cm="1">
        <f t="array" aca="1" ref="F1373" ca="1">IF(INDIRECT("'Student_Record 1'!O" &amp; ROW())="", "", INDIRECT("'Student_Record 1'!O" &amp; ROW()))</f>
        <v/>
      </c>
    </row>
    <row r="1374" spans="1:6" x14ac:dyDescent="0.25">
      <c r="A1374" s="8" t="str" cm="1">
        <f t="array" aca="1" ref="A1374" ca="1">IF(INDIRECT("'Student_Record 1'!A" &amp; ROW())="", "", INDIRECT("'Student_Record 1'!A" &amp; ROW()))</f>
        <v/>
      </c>
      <c r="B1374" s="8" t="str" cm="1">
        <f t="array" aca="1" ref="B1374" ca="1">IF(INDIRECT("'Student_Record 1'!C" &amp; ROW())="", "", INDIRECT("'Student_Record 1'!C" &amp; ROW()))</f>
        <v/>
      </c>
      <c r="C1374" s="8" t="str" cm="1">
        <f t="array" aca="1" ref="C1374" ca="1">IF(INDIRECT("'Student_Record 1'!E" &amp; ROW())="", "", INDIRECT("'Student_Record 1'!E" &amp; ROW()))</f>
        <v/>
      </c>
      <c r="D1374" s="8" t="str" cm="1">
        <f t="array" aca="1" ref="D1374" ca="1">IF(INDIRECT("'Student_Record 1'!G" &amp; ROW())="", "", INDIRECT("'Student_Record 1'!G" &amp; ROW()))</f>
        <v/>
      </c>
      <c r="E1374" s="8" t="str" cm="1">
        <f t="array" aca="1" ref="E1374" ca="1">IF(INDIRECT("'Student_Record 1'!I" &amp; ROW())="", "", INDIRECT("'Student_Record 1'!I" &amp; ROW()))</f>
        <v/>
      </c>
      <c r="F1374" s="8" t="str" cm="1">
        <f t="array" aca="1" ref="F1374" ca="1">IF(INDIRECT("'Student_Record 1'!O" &amp; ROW())="", "", INDIRECT("'Student_Record 1'!O" &amp; ROW()))</f>
        <v/>
      </c>
    </row>
    <row r="1375" spans="1:6" x14ac:dyDescent="0.25">
      <c r="A1375" s="8" t="str" cm="1">
        <f t="array" aca="1" ref="A1375" ca="1">IF(INDIRECT("'Student_Record 1'!A" &amp; ROW())="", "", INDIRECT("'Student_Record 1'!A" &amp; ROW()))</f>
        <v/>
      </c>
      <c r="B1375" s="8" t="str" cm="1">
        <f t="array" aca="1" ref="B1375" ca="1">IF(INDIRECT("'Student_Record 1'!C" &amp; ROW())="", "", INDIRECT("'Student_Record 1'!C" &amp; ROW()))</f>
        <v/>
      </c>
      <c r="C1375" s="8" t="str" cm="1">
        <f t="array" aca="1" ref="C1375" ca="1">IF(INDIRECT("'Student_Record 1'!E" &amp; ROW())="", "", INDIRECT("'Student_Record 1'!E" &amp; ROW()))</f>
        <v/>
      </c>
      <c r="D1375" s="8" t="str" cm="1">
        <f t="array" aca="1" ref="D1375" ca="1">IF(INDIRECT("'Student_Record 1'!G" &amp; ROW())="", "", INDIRECT("'Student_Record 1'!G" &amp; ROW()))</f>
        <v/>
      </c>
      <c r="E1375" s="8" t="str" cm="1">
        <f t="array" aca="1" ref="E1375" ca="1">IF(INDIRECT("'Student_Record 1'!I" &amp; ROW())="", "", INDIRECT("'Student_Record 1'!I" &amp; ROW()))</f>
        <v/>
      </c>
      <c r="F1375" s="8" t="str" cm="1">
        <f t="array" aca="1" ref="F1375" ca="1">IF(INDIRECT("'Student_Record 1'!O" &amp; ROW())="", "", INDIRECT("'Student_Record 1'!O" &amp; ROW()))</f>
        <v/>
      </c>
    </row>
    <row r="1376" spans="1:6" x14ac:dyDescent="0.25">
      <c r="A1376" s="8" t="str" cm="1">
        <f t="array" aca="1" ref="A1376" ca="1">IF(INDIRECT("'Student_Record 1'!A" &amp; ROW())="", "", INDIRECT("'Student_Record 1'!A" &amp; ROW()))</f>
        <v/>
      </c>
      <c r="B1376" s="8" t="str" cm="1">
        <f t="array" aca="1" ref="B1376" ca="1">IF(INDIRECT("'Student_Record 1'!C" &amp; ROW())="", "", INDIRECT("'Student_Record 1'!C" &amp; ROW()))</f>
        <v/>
      </c>
      <c r="C1376" s="8" t="str" cm="1">
        <f t="array" aca="1" ref="C1376" ca="1">IF(INDIRECT("'Student_Record 1'!E" &amp; ROW())="", "", INDIRECT("'Student_Record 1'!E" &amp; ROW()))</f>
        <v/>
      </c>
      <c r="D1376" s="8" t="str" cm="1">
        <f t="array" aca="1" ref="D1376" ca="1">IF(INDIRECT("'Student_Record 1'!G" &amp; ROW())="", "", INDIRECT("'Student_Record 1'!G" &amp; ROW()))</f>
        <v/>
      </c>
      <c r="E1376" s="8" t="str" cm="1">
        <f t="array" aca="1" ref="E1376" ca="1">IF(INDIRECT("'Student_Record 1'!I" &amp; ROW())="", "", INDIRECT("'Student_Record 1'!I" &amp; ROW()))</f>
        <v/>
      </c>
      <c r="F1376" s="8" t="str" cm="1">
        <f t="array" aca="1" ref="F1376" ca="1">IF(INDIRECT("'Student_Record 1'!O" &amp; ROW())="", "", INDIRECT("'Student_Record 1'!O" &amp; ROW()))</f>
        <v/>
      </c>
    </row>
    <row r="1377" spans="1:6" x14ac:dyDescent="0.25">
      <c r="A1377" s="8" t="str" cm="1">
        <f t="array" aca="1" ref="A1377" ca="1">IF(INDIRECT("'Student_Record 1'!A" &amp; ROW())="", "", INDIRECT("'Student_Record 1'!A" &amp; ROW()))</f>
        <v/>
      </c>
      <c r="B1377" s="8" t="str" cm="1">
        <f t="array" aca="1" ref="B1377" ca="1">IF(INDIRECT("'Student_Record 1'!C" &amp; ROW())="", "", INDIRECT("'Student_Record 1'!C" &amp; ROW()))</f>
        <v/>
      </c>
      <c r="C1377" s="8" t="str" cm="1">
        <f t="array" aca="1" ref="C1377" ca="1">IF(INDIRECT("'Student_Record 1'!E" &amp; ROW())="", "", INDIRECT("'Student_Record 1'!E" &amp; ROW()))</f>
        <v/>
      </c>
      <c r="D1377" s="8" t="str" cm="1">
        <f t="array" aca="1" ref="D1377" ca="1">IF(INDIRECT("'Student_Record 1'!G" &amp; ROW())="", "", INDIRECT("'Student_Record 1'!G" &amp; ROW()))</f>
        <v/>
      </c>
      <c r="E1377" s="8" t="str" cm="1">
        <f t="array" aca="1" ref="E1377" ca="1">IF(INDIRECT("'Student_Record 1'!I" &amp; ROW())="", "", INDIRECT("'Student_Record 1'!I" &amp; ROW()))</f>
        <v/>
      </c>
      <c r="F1377" s="8" t="str" cm="1">
        <f t="array" aca="1" ref="F1377" ca="1">IF(INDIRECT("'Student_Record 1'!O" &amp; ROW())="", "", INDIRECT("'Student_Record 1'!O" &amp; ROW()))</f>
        <v/>
      </c>
    </row>
    <row r="1378" spans="1:6" x14ac:dyDescent="0.25">
      <c r="A1378" s="8" t="str" cm="1">
        <f t="array" aca="1" ref="A1378" ca="1">IF(INDIRECT("'Student_Record 1'!A" &amp; ROW())="", "", INDIRECT("'Student_Record 1'!A" &amp; ROW()))</f>
        <v/>
      </c>
      <c r="B1378" s="8" t="str" cm="1">
        <f t="array" aca="1" ref="B1378" ca="1">IF(INDIRECT("'Student_Record 1'!C" &amp; ROW())="", "", INDIRECT("'Student_Record 1'!C" &amp; ROW()))</f>
        <v/>
      </c>
      <c r="C1378" s="8" t="str" cm="1">
        <f t="array" aca="1" ref="C1378" ca="1">IF(INDIRECT("'Student_Record 1'!E" &amp; ROW())="", "", INDIRECT("'Student_Record 1'!E" &amp; ROW()))</f>
        <v/>
      </c>
      <c r="D1378" s="8" t="str" cm="1">
        <f t="array" aca="1" ref="D1378" ca="1">IF(INDIRECT("'Student_Record 1'!G" &amp; ROW())="", "", INDIRECT("'Student_Record 1'!G" &amp; ROW()))</f>
        <v/>
      </c>
      <c r="E1378" s="8" t="str" cm="1">
        <f t="array" aca="1" ref="E1378" ca="1">IF(INDIRECT("'Student_Record 1'!I" &amp; ROW())="", "", INDIRECT("'Student_Record 1'!I" &amp; ROW()))</f>
        <v/>
      </c>
      <c r="F1378" s="8" t="str" cm="1">
        <f t="array" aca="1" ref="F1378" ca="1">IF(INDIRECT("'Student_Record 1'!O" &amp; ROW())="", "", INDIRECT("'Student_Record 1'!O" &amp; ROW()))</f>
        <v/>
      </c>
    </row>
    <row r="1379" spans="1:6" x14ac:dyDescent="0.25">
      <c r="A1379" s="8" t="str" cm="1">
        <f t="array" aca="1" ref="A1379" ca="1">IF(INDIRECT("'Student_Record 1'!A" &amp; ROW())="", "", INDIRECT("'Student_Record 1'!A" &amp; ROW()))</f>
        <v/>
      </c>
      <c r="B1379" s="8" t="str" cm="1">
        <f t="array" aca="1" ref="B1379" ca="1">IF(INDIRECT("'Student_Record 1'!C" &amp; ROW())="", "", INDIRECT("'Student_Record 1'!C" &amp; ROW()))</f>
        <v/>
      </c>
      <c r="C1379" s="8" t="str" cm="1">
        <f t="array" aca="1" ref="C1379" ca="1">IF(INDIRECT("'Student_Record 1'!E" &amp; ROW())="", "", INDIRECT("'Student_Record 1'!E" &amp; ROW()))</f>
        <v/>
      </c>
      <c r="D1379" s="8" t="str" cm="1">
        <f t="array" aca="1" ref="D1379" ca="1">IF(INDIRECT("'Student_Record 1'!G" &amp; ROW())="", "", INDIRECT("'Student_Record 1'!G" &amp; ROW()))</f>
        <v/>
      </c>
      <c r="E1379" s="8" t="str" cm="1">
        <f t="array" aca="1" ref="E1379" ca="1">IF(INDIRECT("'Student_Record 1'!I" &amp; ROW())="", "", INDIRECT("'Student_Record 1'!I" &amp; ROW()))</f>
        <v/>
      </c>
      <c r="F1379" s="8" t="str" cm="1">
        <f t="array" aca="1" ref="F1379" ca="1">IF(INDIRECT("'Student_Record 1'!O" &amp; ROW())="", "", INDIRECT("'Student_Record 1'!O" &amp; ROW()))</f>
        <v/>
      </c>
    </row>
    <row r="1380" spans="1:6" x14ac:dyDescent="0.25">
      <c r="A1380" s="8" t="str" cm="1">
        <f t="array" aca="1" ref="A1380" ca="1">IF(INDIRECT("'Student_Record 1'!A" &amp; ROW())="", "", INDIRECT("'Student_Record 1'!A" &amp; ROW()))</f>
        <v/>
      </c>
      <c r="B1380" s="8" t="str" cm="1">
        <f t="array" aca="1" ref="B1380" ca="1">IF(INDIRECT("'Student_Record 1'!C" &amp; ROW())="", "", INDIRECT("'Student_Record 1'!C" &amp; ROW()))</f>
        <v/>
      </c>
      <c r="C1380" s="8" t="str" cm="1">
        <f t="array" aca="1" ref="C1380" ca="1">IF(INDIRECT("'Student_Record 1'!E" &amp; ROW())="", "", INDIRECT("'Student_Record 1'!E" &amp; ROW()))</f>
        <v/>
      </c>
      <c r="D1380" s="8" t="str" cm="1">
        <f t="array" aca="1" ref="D1380" ca="1">IF(INDIRECT("'Student_Record 1'!G" &amp; ROW())="", "", INDIRECT("'Student_Record 1'!G" &amp; ROW()))</f>
        <v/>
      </c>
      <c r="E1380" s="8" t="str" cm="1">
        <f t="array" aca="1" ref="E1380" ca="1">IF(INDIRECT("'Student_Record 1'!I" &amp; ROW())="", "", INDIRECT("'Student_Record 1'!I" &amp; ROW()))</f>
        <v/>
      </c>
      <c r="F1380" s="8" t="str" cm="1">
        <f t="array" aca="1" ref="F1380" ca="1">IF(INDIRECT("'Student_Record 1'!O" &amp; ROW())="", "", INDIRECT("'Student_Record 1'!O" &amp; ROW()))</f>
        <v/>
      </c>
    </row>
    <row r="1381" spans="1:6" x14ac:dyDescent="0.25">
      <c r="A1381" s="8" t="str" cm="1">
        <f t="array" aca="1" ref="A1381" ca="1">IF(INDIRECT("'Student_Record 1'!A" &amp; ROW())="", "", INDIRECT("'Student_Record 1'!A" &amp; ROW()))</f>
        <v/>
      </c>
      <c r="B1381" s="8" t="str" cm="1">
        <f t="array" aca="1" ref="B1381" ca="1">IF(INDIRECT("'Student_Record 1'!C" &amp; ROW())="", "", INDIRECT("'Student_Record 1'!C" &amp; ROW()))</f>
        <v/>
      </c>
      <c r="C1381" s="8" t="str" cm="1">
        <f t="array" aca="1" ref="C1381" ca="1">IF(INDIRECT("'Student_Record 1'!E" &amp; ROW())="", "", INDIRECT("'Student_Record 1'!E" &amp; ROW()))</f>
        <v/>
      </c>
      <c r="D1381" s="8" t="str" cm="1">
        <f t="array" aca="1" ref="D1381" ca="1">IF(INDIRECT("'Student_Record 1'!G" &amp; ROW())="", "", INDIRECT("'Student_Record 1'!G" &amp; ROW()))</f>
        <v/>
      </c>
      <c r="E1381" s="8" t="str" cm="1">
        <f t="array" aca="1" ref="E1381" ca="1">IF(INDIRECT("'Student_Record 1'!I" &amp; ROW())="", "", INDIRECT("'Student_Record 1'!I" &amp; ROW()))</f>
        <v/>
      </c>
      <c r="F1381" s="8" t="str" cm="1">
        <f t="array" aca="1" ref="F1381" ca="1">IF(INDIRECT("'Student_Record 1'!O" &amp; ROW())="", "", INDIRECT("'Student_Record 1'!O" &amp; ROW()))</f>
        <v/>
      </c>
    </row>
    <row r="1382" spans="1:6" x14ac:dyDescent="0.25">
      <c r="A1382" s="8" t="str" cm="1">
        <f t="array" aca="1" ref="A1382" ca="1">IF(INDIRECT("'Student_Record 1'!A" &amp; ROW())="", "", INDIRECT("'Student_Record 1'!A" &amp; ROW()))</f>
        <v/>
      </c>
      <c r="B1382" s="8" t="str" cm="1">
        <f t="array" aca="1" ref="B1382" ca="1">IF(INDIRECT("'Student_Record 1'!C" &amp; ROW())="", "", INDIRECT("'Student_Record 1'!C" &amp; ROW()))</f>
        <v/>
      </c>
      <c r="C1382" s="8" t="str" cm="1">
        <f t="array" aca="1" ref="C1382" ca="1">IF(INDIRECT("'Student_Record 1'!E" &amp; ROW())="", "", INDIRECT("'Student_Record 1'!E" &amp; ROW()))</f>
        <v/>
      </c>
      <c r="D1382" s="8" t="str" cm="1">
        <f t="array" aca="1" ref="D1382" ca="1">IF(INDIRECT("'Student_Record 1'!G" &amp; ROW())="", "", INDIRECT("'Student_Record 1'!G" &amp; ROW()))</f>
        <v/>
      </c>
      <c r="E1382" s="8" t="str" cm="1">
        <f t="array" aca="1" ref="E1382" ca="1">IF(INDIRECT("'Student_Record 1'!I" &amp; ROW())="", "", INDIRECT("'Student_Record 1'!I" &amp; ROW()))</f>
        <v/>
      </c>
      <c r="F1382" s="8" t="str" cm="1">
        <f t="array" aca="1" ref="F1382" ca="1">IF(INDIRECT("'Student_Record 1'!O" &amp; ROW())="", "", INDIRECT("'Student_Record 1'!O" &amp; ROW()))</f>
        <v/>
      </c>
    </row>
    <row r="1383" spans="1:6" x14ac:dyDescent="0.25">
      <c r="A1383" s="8" t="str" cm="1">
        <f t="array" aca="1" ref="A1383" ca="1">IF(INDIRECT("'Student_Record 1'!A" &amp; ROW())="", "", INDIRECT("'Student_Record 1'!A" &amp; ROW()))</f>
        <v/>
      </c>
      <c r="B1383" s="8" t="str" cm="1">
        <f t="array" aca="1" ref="B1383" ca="1">IF(INDIRECT("'Student_Record 1'!C" &amp; ROW())="", "", INDIRECT("'Student_Record 1'!C" &amp; ROW()))</f>
        <v/>
      </c>
      <c r="C1383" s="8" t="str" cm="1">
        <f t="array" aca="1" ref="C1383" ca="1">IF(INDIRECT("'Student_Record 1'!E" &amp; ROW())="", "", INDIRECT("'Student_Record 1'!E" &amp; ROW()))</f>
        <v/>
      </c>
      <c r="D1383" s="8" t="str" cm="1">
        <f t="array" aca="1" ref="D1383" ca="1">IF(INDIRECT("'Student_Record 1'!G" &amp; ROW())="", "", INDIRECT("'Student_Record 1'!G" &amp; ROW()))</f>
        <v/>
      </c>
      <c r="E1383" s="8" t="str" cm="1">
        <f t="array" aca="1" ref="E1383" ca="1">IF(INDIRECT("'Student_Record 1'!I" &amp; ROW())="", "", INDIRECT("'Student_Record 1'!I" &amp; ROW()))</f>
        <v/>
      </c>
      <c r="F1383" s="8" t="str" cm="1">
        <f t="array" aca="1" ref="F1383" ca="1">IF(INDIRECT("'Student_Record 1'!O" &amp; ROW())="", "", INDIRECT("'Student_Record 1'!O" &amp; ROW()))</f>
        <v/>
      </c>
    </row>
    <row r="1384" spans="1:6" x14ac:dyDescent="0.25">
      <c r="A1384" s="8" t="str" cm="1">
        <f t="array" aca="1" ref="A1384" ca="1">IF(INDIRECT("'Student_Record 1'!A" &amp; ROW())="", "", INDIRECT("'Student_Record 1'!A" &amp; ROW()))</f>
        <v/>
      </c>
      <c r="B1384" s="8" t="str" cm="1">
        <f t="array" aca="1" ref="B1384" ca="1">IF(INDIRECT("'Student_Record 1'!C" &amp; ROW())="", "", INDIRECT("'Student_Record 1'!C" &amp; ROW()))</f>
        <v/>
      </c>
      <c r="C1384" s="8" t="str" cm="1">
        <f t="array" aca="1" ref="C1384" ca="1">IF(INDIRECT("'Student_Record 1'!E" &amp; ROW())="", "", INDIRECT("'Student_Record 1'!E" &amp; ROW()))</f>
        <v/>
      </c>
      <c r="D1384" s="8" t="str" cm="1">
        <f t="array" aca="1" ref="D1384" ca="1">IF(INDIRECT("'Student_Record 1'!G" &amp; ROW())="", "", INDIRECT("'Student_Record 1'!G" &amp; ROW()))</f>
        <v/>
      </c>
      <c r="E1384" s="8" t="str" cm="1">
        <f t="array" aca="1" ref="E1384" ca="1">IF(INDIRECT("'Student_Record 1'!I" &amp; ROW())="", "", INDIRECT("'Student_Record 1'!I" &amp; ROW()))</f>
        <v/>
      </c>
      <c r="F1384" s="8" t="str" cm="1">
        <f t="array" aca="1" ref="F1384" ca="1">IF(INDIRECT("'Student_Record 1'!O" &amp; ROW())="", "", INDIRECT("'Student_Record 1'!O" &amp; ROW()))</f>
        <v/>
      </c>
    </row>
    <row r="1385" spans="1:6" x14ac:dyDescent="0.25">
      <c r="A1385" s="8" t="str" cm="1">
        <f t="array" aca="1" ref="A1385" ca="1">IF(INDIRECT("'Student_Record 1'!A" &amp; ROW())="", "", INDIRECT("'Student_Record 1'!A" &amp; ROW()))</f>
        <v/>
      </c>
      <c r="B1385" s="8" t="str" cm="1">
        <f t="array" aca="1" ref="B1385" ca="1">IF(INDIRECT("'Student_Record 1'!C" &amp; ROW())="", "", INDIRECT("'Student_Record 1'!C" &amp; ROW()))</f>
        <v/>
      </c>
      <c r="C1385" s="8" t="str" cm="1">
        <f t="array" aca="1" ref="C1385" ca="1">IF(INDIRECT("'Student_Record 1'!E" &amp; ROW())="", "", INDIRECT("'Student_Record 1'!E" &amp; ROW()))</f>
        <v/>
      </c>
      <c r="D1385" s="8" t="str" cm="1">
        <f t="array" aca="1" ref="D1385" ca="1">IF(INDIRECT("'Student_Record 1'!G" &amp; ROW())="", "", INDIRECT("'Student_Record 1'!G" &amp; ROW()))</f>
        <v/>
      </c>
      <c r="E1385" s="8" t="str" cm="1">
        <f t="array" aca="1" ref="E1385" ca="1">IF(INDIRECT("'Student_Record 1'!I" &amp; ROW())="", "", INDIRECT("'Student_Record 1'!I" &amp; ROW()))</f>
        <v/>
      </c>
      <c r="F1385" s="8" t="str" cm="1">
        <f t="array" aca="1" ref="F1385" ca="1">IF(INDIRECT("'Student_Record 1'!O" &amp; ROW())="", "", INDIRECT("'Student_Record 1'!O" &amp; ROW()))</f>
        <v/>
      </c>
    </row>
    <row r="1386" spans="1:6" x14ac:dyDescent="0.25">
      <c r="A1386" s="8" t="str" cm="1">
        <f t="array" aca="1" ref="A1386" ca="1">IF(INDIRECT("'Student_Record 1'!A" &amp; ROW())="", "", INDIRECT("'Student_Record 1'!A" &amp; ROW()))</f>
        <v/>
      </c>
      <c r="B1386" s="8" t="str" cm="1">
        <f t="array" aca="1" ref="B1386" ca="1">IF(INDIRECT("'Student_Record 1'!C" &amp; ROW())="", "", INDIRECT("'Student_Record 1'!C" &amp; ROW()))</f>
        <v/>
      </c>
      <c r="C1386" s="8" t="str" cm="1">
        <f t="array" aca="1" ref="C1386" ca="1">IF(INDIRECT("'Student_Record 1'!E" &amp; ROW())="", "", INDIRECT("'Student_Record 1'!E" &amp; ROW()))</f>
        <v/>
      </c>
      <c r="D1386" s="8" t="str" cm="1">
        <f t="array" aca="1" ref="D1386" ca="1">IF(INDIRECT("'Student_Record 1'!G" &amp; ROW())="", "", INDIRECT("'Student_Record 1'!G" &amp; ROW()))</f>
        <v/>
      </c>
      <c r="E1386" s="8" t="str" cm="1">
        <f t="array" aca="1" ref="E1386" ca="1">IF(INDIRECT("'Student_Record 1'!I" &amp; ROW())="", "", INDIRECT("'Student_Record 1'!I" &amp; ROW()))</f>
        <v/>
      </c>
      <c r="F1386" s="8" t="str" cm="1">
        <f t="array" aca="1" ref="F1386" ca="1">IF(INDIRECT("'Student_Record 1'!O" &amp; ROW())="", "", INDIRECT("'Student_Record 1'!O" &amp; ROW()))</f>
        <v/>
      </c>
    </row>
    <row r="1387" spans="1:6" x14ac:dyDescent="0.25">
      <c r="A1387" s="8" t="str" cm="1">
        <f t="array" aca="1" ref="A1387" ca="1">IF(INDIRECT("'Student_Record 1'!A" &amp; ROW())="", "", INDIRECT("'Student_Record 1'!A" &amp; ROW()))</f>
        <v/>
      </c>
      <c r="B1387" s="8" t="str" cm="1">
        <f t="array" aca="1" ref="B1387" ca="1">IF(INDIRECT("'Student_Record 1'!C" &amp; ROW())="", "", INDIRECT("'Student_Record 1'!C" &amp; ROW()))</f>
        <v/>
      </c>
      <c r="C1387" s="8" t="str" cm="1">
        <f t="array" aca="1" ref="C1387" ca="1">IF(INDIRECT("'Student_Record 1'!E" &amp; ROW())="", "", INDIRECT("'Student_Record 1'!E" &amp; ROW()))</f>
        <v/>
      </c>
      <c r="D1387" s="8" t="str" cm="1">
        <f t="array" aca="1" ref="D1387" ca="1">IF(INDIRECT("'Student_Record 1'!G" &amp; ROW())="", "", INDIRECT("'Student_Record 1'!G" &amp; ROW()))</f>
        <v/>
      </c>
      <c r="E1387" s="8" t="str" cm="1">
        <f t="array" aca="1" ref="E1387" ca="1">IF(INDIRECT("'Student_Record 1'!I" &amp; ROW())="", "", INDIRECT("'Student_Record 1'!I" &amp; ROW()))</f>
        <v/>
      </c>
      <c r="F1387" s="8" t="str" cm="1">
        <f t="array" aca="1" ref="F1387" ca="1">IF(INDIRECT("'Student_Record 1'!O" &amp; ROW())="", "", INDIRECT("'Student_Record 1'!O" &amp; ROW()))</f>
        <v/>
      </c>
    </row>
    <row r="1388" spans="1:6" x14ac:dyDescent="0.25">
      <c r="A1388" s="8" t="str" cm="1">
        <f t="array" aca="1" ref="A1388" ca="1">IF(INDIRECT("'Student_Record 1'!A" &amp; ROW())="", "", INDIRECT("'Student_Record 1'!A" &amp; ROW()))</f>
        <v/>
      </c>
      <c r="B1388" s="8" t="str" cm="1">
        <f t="array" aca="1" ref="B1388" ca="1">IF(INDIRECT("'Student_Record 1'!C" &amp; ROW())="", "", INDIRECT("'Student_Record 1'!C" &amp; ROW()))</f>
        <v/>
      </c>
      <c r="C1388" s="8" t="str" cm="1">
        <f t="array" aca="1" ref="C1388" ca="1">IF(INDIRECT("'Student_Record 1'!E" &amp; ROW())="", "", INDIRECT("'Student_Record 1'!E" &amp; ROW()))</f>
        <v/>
      </c>
      <c r="D1388" s="8" t="str" cm="1">
        <f t="array" aca="1" ref="D1388" ca="1">IF(INDIRECT("'Student_Record 1'!G" &amp; ROW())="", "", INDIRECT("'Student_Record 1'!G" &amp; ROW()))</f>
        <v/>
      </c>
      <c r="E1388" s="8" t="str" cm="1">
        <f t="array" aca="1" ref="E1388" ca="1">IF(INDIRECT("'Student_Record 1'!I" &amp; ROW())="", "", INDIRECT("'Student_Record 1'!I" &amp; ROW()))</f>
        <v/>
      </c>
      <c r="F1388" s="8" t="str" cm="1">
        <f t="array" aca="1" ref="F1388" ca="1">IF(INDIRECT("'Student_Record 1'!O" &amp; ROW())="", "", INDIRECT("'Student_Record 1'!O" &amp; ROW()))</f>
        <v/>
      </c>
    </row>
    <row r="1389" spans="1:6" x14ac:dyDescent="0.25">
      <c r="A1389" s="8" t="str" cm="1">
        <f t="array" aca="1" ref="A1389" ca="1">IF(INDIRECT("'Student_Record 1'!A" &amp; ROW())="", "", INDIRECT("'Student_Record 1'!A" &amp; ROW()))</f>
        <v/>
      </c>
      <c r="B1389" s="8" t="str" cm="1">
        <f t="array" aca="1" ref="B1389" ca="1">IF(INDIRECT("'Student_Record 1'!C" &amp; ROW())="", "", INDIRECT("'Student_Record 1'!C" &amp; ROW()))</f>
        <v/>
      </c>
      <c r="C1389" s="8" t="str" cm="1">
        <f t="array" aca="1" ref="C1389" ca="1">IF(INDIRECT("'Student_Record 1'!E" &amp; ROW())="", "", INDIRECT("'Student_Record 1'!E" &amp; ROW()))</f>
        <v/>
      </c>
      <c r="D1389" s="8" t="str" cm="1">
        <f t="array" aca="1" ref="D1389" ca="1">IF(INDIRECT("'Student_Record 1'!G" &amp; ROW())="", "", INDIRECT("'Student_Record 1'!G" &amp; ROW()))</f>
        <v/>
      </c>
      <c r="E1389" s="8" t="str" cm="1">
        <f t="array" aca="1" ref="E1389" ca="1">IF(INDIRECT("'Student_Record 1'!I" &amp; ROW())="", "", INDIRECT("'Student_Record 1'!I" &amp; ROW()))</f>
        <v/>
      </c>
      <c r="F1389" s="8" t="str" cm="1">
        <f t="array" aca="1" ref="F1389" ca="1">IF(INDIRECT("'Student_Record 1'!O" &amp; ROW())="", "", INDIRECT("'Student_Record 1'!O" &amp; ROW()))</f>
        <v/>
      </c>
    </row>
    <row r="1390" spans="1:6" x14ac:dyDescent="0.25">
      <c r="A1390" s="8" t="str" cm="1">
        <f t="array" aca="1" ref="A1390" ca="1">IF(INDIRECT("'Student_Record 1'!A" &amp; ROW())="", "", INDIRECT("'Student_Record 1'!A" &amp; ROW()))</f>
        <v/>
      </c>
      <c r="B1390" s="8" t="str" cm="1">
        <f t="array" aca="1" ref="B1390" ca="1">IF(INDIRECT("'Student_Record 1'!C" &amp; ROW())="", "", INDIRECT("'Student_Record 1'!C" &amp; ROW()))</f>
        <v/>
      </c>
      <c r="C1390" s="8" t="str" cm="1">
        <f t="array" aca="1" ref="C1390" ca="1">IF(INDIRECT("'Student_Record 1'!E" &amp; ROW())="", "", INDIRECT("'Student_Record 1'!E" &amp; ROW()))</f>
        <v/>
      </c>
      <c r="D1390" s="8" t="str" cm="1">
        <f t="array" aca="1" ref="D1390" ca="1">IF(INDIRECT("'Student_Record 1'!G" &amp; ROW())="", "", INDIRECT("'Student_Record 1'!G" &amp; ROW()))</f>
        <v/>
      </c>
      <c r="E1390" s="8" t="str" cm="1">
        <f t="array" aca="1" ref="E1390" ca="1">IF(INDIRECT("'Student_Record 1'!I" &amp; ROW())="", "", INDIRECT("'Student_Record 1'!I" &amp; ROW()))</f>
        <v/>
      </c>
      <c r="F1390" s="8" t="str" cm="1">
        <f t="array" aca="1" ref="F1390" ca="1">IF(INDIRECT("'Student_Record 1'!O" &amp; ROW())="", "", INDIRECT("'Student_Record 1'!O" &amp; ROW()))</f>
        <v/>
      </c>
    </row>
    <row r="1391" spans="1:6" x14ac:dyDescent="0.25">
      <c r="A1391" s="8" t="str" cm="1">
        <f t="array" aca="1" ref="A1391" ca="1">IF(INDIRECT("'Student_Record 1'!A" &amp; ROW())="", "", INDIRECT("'Student_Record 1'!A" &amp; ROW()))</f>
        <v/>
      </c>
      <c r="B1391" s="8" t="str" cm="1">
        <f t="array" aca="1" ref="B1391" ca="1">IF(INDIRECT("'Student_Record 1'!C" &amp; ROW())="", "", INDIRECT("'Student_Record 1'!C" &amp; ROW()))</f>
        <v/>
      </c>
      <c r="C1391" s="8" t="str" cm="1">
        <f t="array" aca="1" ref="C1391" ca="1">IF(INDIRECT("'Student_Record 1'!E" &amp; ROW())="", "", INDIRECT("'Student_Record 1'!E" &amp; ROW()))</f>
        <v/>
      </c>
      <c r="D1391" s="8" t="str" cm="1">
        <f t="array" aca="1" ref="D1391" ca="1">IF(INDIRECT("'Student_Record 1'!G" &amp; ROW())="", "", INDIRECT("'Student_Record 1'!G" &amp; ROW()))</f>
        <v/>
      </c>
      <c r="E1391" s="8" t="str" cm="1">
        <f t="array" aca="1" ref="E1391" ca="1">IF(INDIRECT("'Student_Record 1'!I" &amp; ROW())="", "", INDIRECT("'Student_Record 1'!I" &amp; ROW()))</f>
        <v/>
      </c>
      <c r="F1391" s="8" t="str" cm="1">
        <f t="array" aca="1" ref="F1391" ca="1">IF(INDIRECT("'Student_Record 1'!O" &amp; ROW())="", "", INDIRECT("'Student_Record 1'!O" &amp; ROW()))</f>
        <v/>
      </c>
    </row>
    <row r="1392" spans="1:6" x14ac:dyDescent="0.25">
      <c r="A1392" s="8" t="str" cm="1">
        <f t="array" aca="1" ref="A1392" ca="1">IF(INDIRECT("'Student_Record 1'!A" &amp; ROW())="", "", INDIRECT("'Student_Record 1'!A" &amp; ROW()))</f>
        <v/>
      </c>
      <c r="B1392" s="8" t="str" cm="1">
        <f t="array" aca="1" ref="B1392" ca="1">IF(INDIRECT("'Student_Record 1'!C" &amp; ROW())="", "", INDIRECT("'Student_Record 1'!C" &amp; ROW()))</f>
        <v/>
      </c>
      <c r="C1392" s="8" t="str" cm="1">
        <f t="array" aca="1" ref="C1392" ca="1">IF(INDIRECT("'Student_Record 1'!E" &amp; ROW())="", "", INDIRECT("'Student_Record 1'!E" &amp; ROW()))</f>
        <v/>
      </c>
      <c r="D1392" s="8" t="str" cm="1">
        <f t="array" aca="1" ref="D1392" ca="1">IF(INDIRECT("'Student_Record 1'!G" &amp; ROW())="", "", INDIRECT("'Student_Record 1'!G" &amp; ROW()))</f>
        <v/>
      </c>
      <c r="E1392" s="8" t="str" cm="1">
        <f t="array" aca="1" ref="E1392" ca="1">IF(INDIRECT("'Student_Record 1'!I" &amp; ROW())="", "", INDIRECT("'Student_Record 1'!I" &amp; ROW()))</f>
        <v/>
      </c>
      <c r="F1392" s="8" t="str" cm="1">
        <f t="array" aca="1" ref="F1392" ca="1">IF(INDIRECT("'Student_Record 1'!O" &amp; ROW())="", "", INDIRECT("'Student_Record 1'!O" &amp; ROW()))</f>
        <v/>
      </c>
    </row>
    <row r="1393" spans="1:6" x14ac:dyDescent="0.25">
      <c r="A1393" s="8" t="str" cm="1">
        <f t="array" aca="1" ref="A1393" ca="1">IF(INDIRECT("'Student_Record 1'!A" &amp; ROW())="", "", INDIRECT("'Student_Record 1'!A" &amp; ROW()))</f>
        <v/>
      </c>
      <c r="B1393" s="8" t="str" cm="1">
        <f t="array" aca="1" ref="B1393" ca="1">IF(INDIRECT("'Student_Record 1'!C" &amp; ROW())="", "", INDIRECT("'Student_Record 1'!C" &amp; ROW()))</f>
        <v/>
      </c>
      <c r="C1393" s="8" t="str" cm="1">
        <f t="array" aca="1" ref="C1393" ca="1">IF(INDIRECT("'Student_Record 1'!E" &amp; ROW())="", "", INDIRECT("'Student_Record 1'!E" &amp; ROW()))</f>
        <v/>
      </c>
      <c r="D1393" s="8" t="str" cm="1">
        <f t="array" aca="1" ref="D1393" ca="1">IF(INDIRECT("'Student_Record 1'!G" &amp; ROW())="", "", INDIRECT("'Student_Record 1'!G" &amp; ROW()))</f>
        <v/>
      </c>
      <c r="E1393" s="8" t="str" cm="1">
        <f t="array" aca="1" ref="E1393" ca="1">IF(INDIRECT("'Student_Record 1'!I" &amp; ROW())="", "", INDIRECT("'Student_Record 1'!I" &amp; ROW()))</f>
        <v/>
      </c>
      <c r="F1393" s="8" t="str" cm="1">
        <f t="array" aca="1" ref="F1393" ca="1">IF(INDIRECT("'Student_Record 1'!O" &amp; ROW())="", "", INDIRECT("'Student_Record 1'!O" &amp; ROW()))</f>
        <v/>
      </c>
    </row>
    <row r="1394" spans="1:6" x14ac:dyDescent="0.25">
      <c r="A1394" s="8" t="str" cm="1">
        <f t="array" aca="1" ref="A1394" ca="1">IF(INDIRECT("'Student_Record 1'!A" &amp; ROW())="", "", INDIRECT("'Student_Record 1'!A" &amp; ROW()))</f>
        <v/>
      </c>
      <c r="B1394" s="8" t="str" cm="1">
        <f t="array" aca="1" ref="B1394" ca="1">IF(INDIRECT("'Student_Record 1'!C" &amp; ROW())="", "", INDIRECT("'Student_Record 1'!C" &amp; ROW()))</f>
        <v/>
      </c>
      <c r="C1394" s="8" t="str" cm="1">
        <f t="array" aca="1" ref="C1394" ca="1">IF(INDIRECT("'Student_Record 1'!E" &amp; ROW())="", "", INDIRECT("'Student_Record 1'!E" &amp; ROW()))</f>
        <v/>
      </c>
      <c r="D1394" s="8" t="str" cm="1">
        <f t="array" aca="1" ref="D1394" ca="1">IF(INDIRECT("'Student_Record 1'!G" &amp; ROW())="", "", INDIRECT("'Student_Record 1'!G" &amp; ROW()))</f>
        <v/>
      </c>
      <c r="E1394" s="8" t="str" cm="1">
        <f t="array" aca="1" ref="E1394" ca="1">IF(INDIRECT("'Student_Record 1'!I" &amp; ROW())="", "", INDIRECT("'Student_Record 1'!I" &amp; ROW()))</f>
        <v/>
      </c>
      <c r="F1394" s="8" t="str" cm="1">
        <f t="array" aca="1" ref="F1394" ca="1">IF(INDIRECT("'Student_Record 1'!O" &amp; ROW())="", "", INDIRECT("'Student_Record 1'!O" &amp; ROW()))</f>
        <v/>
      </c>
    </row>
    <row r="1395" spans="1:6" x14ac:dyDescent="0.25">
      <c r="A1395" s="8" t="str" cm="1">
        <f t="array" aca="1" ref="A1395" ca="1">IF(INDIRECT("'Student_Record 1'!A" &amp; ROW())="", "", INDIRECT("'Student_Record 1'!A" &amp; ROW()))</f>
        <v/>
      </c>
      <c r="B1395" s="8" t="str" cm="1">
        <f t="array" aca="1" ref="B1395" ca="1">IF(INDIRECT("'Student_Record 1'!C" &amp; ROW())="", "", INDIRECT("'Student_Record 1'!C" &amp; ROW()))</f>
        <v/>
      </c>
      <c r="C1395" s="8" t="str" cm="1">
        <f t="array" aca="1" ref="C1395" ca="1">IF(INDIRECT("'Student_Record 1'!E" &amp; ROW())="", "", INDIRECT("'Student_Record 1'!E" &amp; ROW()))</f>
        <v/>
      </c>
      <c r="D1395" s="8" t="str" cm="1">
        <f t="array" aca="1" ref="D1395" ca="1">IF(INDIRECT("'Student_Record 1'!G" &amp; ROW())="", "", INDIRECT("'Student_Record 1'!G" &amp; ROW()))</f>
        <v/>
      </c>
      <c r="E1395" s="8" t="str" cm="1">
        <f t="array" aca="1" ref="E1395" ca="1">IF(INDIRECT("'Student_Record 1'!I" &amp; ROW())="", "", INDIRECT("'Student_Record 1'!I" &amp; ROW()))</f>
        <v/>
      </c>
      <c r="F1395" s="8" t="str" cm="1">
        <f t="array" aca="1" ref="F1395" ca="1">IF(INDIRECT("'Student_Record 1'!O" &amp; ROW())="", "", INDIRECT("'Student_Record 1'!O" &amp; ROW()))</f>
        <v/>
      </c>
    </row>
    <row r="1396" spans="1:6" x14ac:dyDescent="0.25">
      <c r="A1396" s="8" t="str" cm="1">
        <f t="array" aca="1" ref="A1396" ca="1">IF(INDIRECT("'Student_Record 1'!A" &amp; ROW())="", "", INDIRECT("'Student_Record 1'!A" &amp; ROW()))</f>
        <v/>
      </c>
      <c r="B1396" s="8" t="str" cm="1">
        <f t="array" aca="1" ref="B1396" ca="1">IF(INDIRECT("'Student_Record 1'!C" &amp; ROW())="", "", INDIRECT("'Student_Record 1'!C" &amp; ROW()))</f>
        <v/>
      </c>
      <c r="C1396" s="8" t="str" cm="1">
        <f t="array" aca="1" ref="C1396" ca="1">IF(INDIRECT("'Student_Record 1'!E" &amp; ROW())="", "", INDIRECT("'Student_Record 1'!E" &amp; ROW()))</f>
        <v/>
      </c>
      <c r="D1396" s="8" t="str" cm="1">
        <f t="array" aca="1" ref="D1396" ca="1">IF(INDIRECT("'Student_Record 1'!G" &amp; ROW())="", "", INDIRECT("'Student_Record 1'!G" &amp; ROW()))</f>
        <v/>
      </c>
      <c r="E1396" s="8" t="str" cm="1">
        <f t="array" aca="1" ref="E1396" ca="1">IF(INDIRECT("'Student_Record 1'!I" &amp; ROW())="", "", INDIRECT("'Student_Record 1'!I" &amp; ROW()))</f>
        <v/>
      </c>
      <c r="F1396" s="8" t="str" cm="1">
        <f t="array" aca="1" ref="F1396" ca="1">IF(INDIRECT("'Student_Record 1'!O" &amp; ROW())="", "", INDIRECT("'Student_Record 1'!O" &amp; ROW()))</f>
        <v/>
      </c>
    </row>
    <row r="1397" spans="1:6" x14ac:dyDescent="0.25">
      <c r="A1397" s="8" t="str" cm="1">
        <f t="array" aca="1" ref="A1397" ca="1">IF(INDIRECT("'Student_Record 1'!A" &amp; ROW())="", "", INDIRECT("'Student_Record 1'!A" &amp; ROW()))</f>
        <v/>
      </c>
      <c r="B1397" s="8" t="str" cm="1">
        <f t="array" aca="1" ref="B1397" ca="1">IF(INDIRECT("'Student_Record 1'!C" &amp; ROW())="", "", INDIRECT("'Student_Record 1'!C" &amp; ROW()))</f>
        <v/>
      </c>
      <c r="C1397" s="8" t="str" cm="1">
        <f t="array" aca="1" ref="C1397" ca="1">IF(INDIRECT("'Student_Record 1'!E" &amp; ROW())="", "", INDIRECT("'Student_Record 1'!E" &amp; ROW()))</f>
        <v/>
      </c>
      <c r="D1397" s="8" t="str" cm="1">
        <f t="array" aca="1" ref="D1397" ca="1">IF(INDIRECT("'Student_Record 1'!G" &amp; ROW())="", "", INDIRECT("'Student_Record 1'!G" &amp; ROW()))</f>
        <v/>
      </c>
      <c r="E1397" s="8" t="str" cm="1">
        <f t="array" aca="1" ref="E1397" ca="1">IF(INDIRECT("'Student_Record 1'!I" &amp; ROW())="", "", INDIRECT("'Student_Record 1'!I" &amp; ROW()))</f>
        <v/>
      </c>
      <c r="F1397" s="8" t="str" cm="1">
        <f t="array" aca="1" ref="F1397" ca="1">IF(INDIRECT("'Student_Record 1'!O" &amp; ROW())="", "", INDIRECT("'Student_Record 1'!O" &amp; ROW()))</f>
        <v/>
      </c>
    </row>
    <row r="1398" spans="1:6" x14ac:dyDescent="0.25">
      <c r="A1398" s="8" t="str" cm="1">
        <f t="array" aca="1" ref="A1398" ca="1">IF(INDIRECT("'Student_Record 1'!A" &amp; ROW())="", "", INDIRECT("'Student_Record 1'!A" &amp; ROW()))</f>
        <v/>
      </c>
      <c r="B1398" s="8" t="str" cm="1">
        <f t="array" aca="1" ref="B1398" ca="1">IF(INDIRECT("'Student_Record 1'!C" &amp; ROW())="", "", INDIRECT("'Student_Record 1'!C" &amp; ROW()))</f>
        <v/>
      </c>
      <c r="C1398" s="8" t="str" cm="1">
        <f t="array" aca="1" ref="C1398" ca="1">IF(INDIRECT("'Student_Record 1'!E" &amp; ROW())="", "", INDIRECT("'Student_Record 1'!E" &amp; ROW()))</f>
        <v/>
      </c>
      <c r="D1398" s="8" t="str" cm="1">
        <f t="array" aca="1" ref="D1398" ca="1">IF(INDIRECT("'Student_Record 1'!G" &amp; ROW())="", "", INDIRECT("'Student_Record 1'!G" &amp; ROW()))</f>
        <v/>
      </c>
      <c r="E1398" s="8" t="str" cm="1">
        <f t="array" aca="1" ref="E1398" ca="1">IF(INDIRECT("'Student_Record 1'!I" &amp; ROW())="", "", INDIRECT("'Student_Record 1'!I" &amp; ROW()))</f>
        <v/>
      </c>
      <c r="F1398" s="8" t="str" cm="1">
        <f t="array" aca="1" ref="F1398" ca="1">IF(INDIRECT("'Student_Record 1'!O" &amp; ROW())="", "", INDIRECT("'Student_Record 1'!O" &amp; ROW()))</f>
        <v/>
      </c>
    </row>
    <row r="1399" spans="1:6" x14ac:dyDescent="0.25">
      <c r="A1399" s="8" t="str" cm="1">
        <f t="array" aca="1" ref="A1399" ca="1">IF(INDIRECT("'Student_Record 1'!A" &amp; ROW())="", "", INDIRECT("'Student_Record 1'!A" &amp; ROW()))</f>
        <v/>
      </c>
      <c r="B1399" s="8" t="str" cm="1">
        <f t="array" aca="1" ref="B1399" ca="1">IF(INDIRECT("'Student_Record 1'!C" &amp; ROW())="", "", INDIRECT("'Student_Record 1'!C" &amp; ROW()))</f>
        <v/>
      </c>
      <c r="C1399" s="8" t="str" cm="1">
        <f t="array" aca="1" ref="C1399" ca="1">IF(INDIRECT("'Student_Record 1'!E" &amp; ROW())="", "", INDIRECT("'Student_Record 1'!E" &amp; ROW()))</f>
        <v/>
      </c>
      <c r="D1399" s="8" t="str" cm="1">
        <f t="array" aca="1" ref="D1399" ca="1">IF(INDIRECT("'Student_Record 1'!G" &amp; ROW())="", "", INDIRECT("'Student_Record 1'!G" &amp; ROW()))</f>
        <v/>
      </c>
      <c r="E1399" s="8" t="str" cm="1">
        <f t="array" aca="1" ref="E1399" ca="1">IF(INDIRECT("'Student_Record 1'!I" &amp; ROW())="", "", INDIRECT("'Student_Record 1'!I" &amp; ROW()))</f>
        <v/>
      </c>
      <c r="F1399" s="8" t="str" cm="1">
        <f t="array" aca="1" ref="F1399" ca="1">IF(INDIRECT("'Student_Record 1'!O" &amp; ROW())="", "", INDIRECT("'Student_Record 1'!O" &amp; ROW()))</f>
        <v/>
      </c>
    </row>
    <row r="1400" spans="1:6" x14ac:dyDescent="0.25">
      <c r="A1400" s="8" t="str" cm="1">
        <f t="array" aca="1" ref="A1400" ca="1">IF(INDIRECT("'Student_Record 1'!A" &amp; ROW())="", "", INDIRECT("'Student_Record 1'!A" &amp; ROW()))</f>
        <v/>
      </c>
      <c r="B1400" s="8" t="str" cm="1">
        <f t="array" aca="1" ref="B1400" ca="1">IF(INDIRECT("'Student_Record 1'!C" &amp; ROW())="", "", INDIRECT("'Student_Record 1'!C" &amp; ROW()))</f>
        <v/>
      </c>
      <c r="C1400" s="8" t="str" cm="1">
        <f t="array" aca="1" ref="C1400" ca="1">IF(INDIRECT("'Student_Record 1'!E" &amp; ROW())="", "", INDIRECT("'Student_Record 1'!E" &amp; ROW()))</f>
        <v/>
      </c>
      <c r="D1400" s="8" t="str" cm="1">
        <f t="array" aca="1" ref="D1400" ca="1">IF(INDIRECT("'Student_Record 1'!G" &amp; ROW())="", "", INDIRECT("'Student_Record 1'!G" &amp; ROW()))</f>
        <v/>
      </c>
      <c r="E1400" s="8" t="str" cm="1">
        <f t="array" aca="1" ref="E1400" ca="1">IF(INDIRECT("'Student_Record 1'!I" &amp; ROW())="", "", INDIRECT("'Student_Record 1'!I" &amp; ROW()))</f>
        <v/>
      </c>
      <c r="F1400" s="8" t="str" cm="1">
        <f t="array" aca="1" ref="F1400" ca="1">IF(INDIRECT("'Student_Record 1'!O" &amp; ROW())="", "", INDIRECT("'Student_Record 1'!O" &amp; ROW()))</f>
        <v/>
      </c>
    </row>
    <row r="1401" spans="1:6" x14ac:dyDescent="0.25">
      <c r="A1401" s="8" t="str" cm="1">
        <f t="array" aca="1" ref="A1401" ca="1">IF(INDIRECT("'Student_Record 1'!A" &amp; ROW())="", "", INDIRECT("'Student_Record 1'!A" &amp; ROW()))</f>
        <v/>
      </c>
      <c r="B1401" s="8" t="str" cm="1">
        <f t="array" aca="1" ref="B1401" ca="1">IF(INDIRECT("'Student_Record 1'!C" &amp; ROW())="", "", INDIRECT("'Student_Record 1'!C" &amp; ROW()))</f>
        <v/>
      </c>
      <c r="C1401" s="8" t="str" cm="1">
        <f t="array" aca="1" ref="C1401" ca="1">IF(INDIRECT("'Student_Record 1'!E" &amp; ROW())="", "", INDIRECT("'Student_Record 1'!E" &amp; ROW()))</f>
        <v/>
      </c>
      <c r="D1401" s="8" t="str" cm="1">
        <f t="array" aca="1" ref="D1401" ca="1">IF(INDIRECT("'Student_Record 1'!G" &amp; ROW())="", "", INDIRECT("'Student_Record 1'!G" &amp; ROW()))</f>
        <v/>
      </c>
      <c r="E1401" s="8" t="str" cm="1">
        <f t="array" aca="1" ref="E1401" ca="1">IF(INDIRECT("'Student_Record 1'!I" &amp; ROW())="", "", INDIRECT("'Student_Record 1'!I" &amp; ROW()))</f>
        <v/>
      </c>
      <c r="F1401" s="8" t="str" cm="1">
        <f t="array" aca="1" ref="F1401" ca="1">IF(INDIRECT("'Student_Record 1'!O" &amp; ROW())="", "", INDIRECT("'Student_Record 1'!O" &amp; ROW()))</f>
        <v/>
      </c>
    </row>
    <row r="1402" spans="1:6" x14ac:dyDescent="0.25">
      <c r="A1402" s="8" t="str" cm="1">
        <f t="array" aca="1" ref="A1402" ca="1">IF(INDIRECT("'Student_Record 1'!A" &amp; ROW())="", "", INDIRECT("'Student_Record 1'!A" &amp; ROW()))</f>
        <v/>
      </c>
      <c r="B1402" s="8" t="str" cm="1">
        <f t="array" aca="1" ref="B1402" ca="1">IF(INDIRECT("'Student_Record 1'!C" &amp; ROW())="", "", INDIRECT("'Student_Record 1'!C" &amp; ROW()))</f>
        <v/>
      </c>
      <c r="C1402" s="8" t="str" cm="1">
        <f t="array" aca="1" ref="C1402" ca="1">IF(INDIRECT("'Student_Record 1'!E" &amp; ROW())="", "", INDIRECT("'Student_Record 1'!E" &amp; ROW()))</f>
        <v/>
      </c>
      <c r="D1402" s="8" t="str" cm="1">
        <f t="array" aca="1" ref="D1402" ca="1">IF(INDIRECT("'Student_Record 1'!G" &amp; ROW())="", "", INDIRECT("'Student_Record 1'!G" &amp; ROW()))</f>
        <v/>
      </c>
      <c r="E1402" s="8" t="str" cm="1">
        <f t="array" aca="1" ref="E1402" ca="1">IF(INDIRECT("'Student_Record 1'!I" &amp; ROW())="", "", INDIRECT("'Student_Record 1'!I" &amp; ROW()))</f>
        <v/>
      </c>
      <c r="F1402" s="8" t="str" cm="1">
        <f t="array" aca="1" ref="F1402" ca="1">IF(INDIRECT("'Student_Record 1'!O" &amp; ROW())="", "", INDIRECT("'Student_Record 1'!O" &amp; ROW()))</f>
        <v/>
      </c>
    </row>
    <row r="1403" spans="1:6" x14ac:dyDescent="0.25">
      <c r="A1403" s="8" t="str" cm="1">
        <f t="array" aca="1" ref="A1403" ca="1">IF(INDIRECT("'Student_Record 1'!A" &amp; ROW())="", "", INDIRECT("'Student_Record 1'!A" &amp; ROW()))</f>
        <v/>
      </c>
      <c r="B1403" s="8" t="str" cm="1">
        <f t="array" aca="1" ref="B1403" ca="1">IF(INDIRECT("'Student_Record 1'!C" &amp; ROW())="", "", INDIRECT("'Student_Record 1'!C" &amp; ROW()))</f>
        <v/>
      </c>
      <c r="C1403" s="8" t="str" cm="1">
        <f t="array" aca="1" ref="C1403" ca="1">IF(INDIRECT("'Student_Record 1'!E" &amp; ROW())="", "", INDIRECT("'Student_Record 1'!E" &amp; ROW()))</f>
        <v/>
      </c>
      <c r="D1403" s="8" t="str" cm="1">
        <f t="array" aca="1" ref="D1403" ca="1">IF(INDIRECT("'Student_Record 1'!G" &amp; ROW())="", "", INDIRECT("'Student_Record 1'!G" &amp; ROW()))</f>
        <v/>
      </c>
      <c r="E1403" s="8" t="str" cm="1">
        <f t="array" aca="1" ref="E1403" ca="1">IF(INDIRECT("'Student_Record 1'!I" &amp; ROW())="", "", INDIRECT("'Student_Record 1'!I" &amp; ROW()))</f>
        <v/>
      </c>
      <c r="F1403" s="8" t="str" cm="1">
        <f t="array" aca="1" ref="F1403" ca="1">IF(INDIRECT("'Student_Record 1'!O" &amp; ROW())="", "", INDIRECT("'Student_Record 1'!O" &amp; ROW()))</f>
        <v/>
      </c>
    </row>
    <row r="1404" spans="1:6" x14ac:dyDescent="0.25">
      <c r="A1404" s="8" t="str" cm="1">
        <f t="array" aca="1" ref="A1404" ca="1">IF(INDIRECT("'Student_Record 1'!A" &amp; ROW())="", "", INDIRECT("'Student_Record 1'!A" &amp; ROW()))</f>
        <v/>
      </c>
      <c r="B1404" s="8" t="str" cm="1">
        <f t="array" aca="1" ref="B1404" ca="1">IF(INDIRECT("'Student_Record 1'!C" &amp; ROW())="", "", INDIRECT("'Student_Record 1'!C" &amp; ROW()))</f>
        <v/>
      </c>
      <c r="C1404" s="8" t="str" cm="1">
        <f t="array" aca="1" ref="C1404" ca="1">IF(INDIRECT("'Student_Record 1'!E" &amp; ROW())="", "", INDIRECT("'Student_Record 1'!E" &amp; ROW()))</f>
        <v/>
      </c>
      <c r="D1404" s="8" t="str" cm="1">
        <f t="array" aca="1" ref="D1404" ca="1">IF(INDIRECT("'Student_Record 1'!G" &amp; ROW())="", "", INDIRECT("'Student_Record 1'!G" &amp; ROW()))</f>
        <v/>
      </c>
      <c r="E1404" s="8" t="str" cm="1">
        <f t="array" aca="1" ref="E1404" ca="1">IF(INDIRECT("'Student_Record 1'!I" &amp; ROW())="", "", INDIRECT("'Student_Record 1'!I" &amp; ROW()))</f>
        <v/>
      </c>
      <c r="F1404" s="8" t="str" cm="1">
        <f t="array" aca="1" ref="F1404" ca="1">IF(INDIRECT("'Student_Record 1'!O" &amp; ROW())="", "", INDIRECT("'Student_Record 1'!O" &amp; ROW()))</f>
        <v/>
      </c>
    </row>
    <row r="1405" spans="1:6" x14ac:dyDescent="0.25">
      <c r="A1405" s="8" t="str" cm="1">
        <f t="array" aca="1" ref="A1405" ca="1">IF(INDIRECT("'Student_Record 1'!A" &amp; ROW())="", "", INDIRECT("'Student_Record 1'!A" &amp; ROW()))</f>
        <v/>
      </c>
      <c r="B1405" s="8" t="str" cm="1">
        <f t="array" aca="1" ref="B1405" ca="1">IF(INDIRECT("'Student_Record 1'!C" &amp; ROW())="", "", INDIRECT("'Student_Record 1'!C" &amp; ROW()))</f>
        <v/>
      </c>
      <c r="C1405" s="8" t="str" cm="1">
        <f t="array" aca="1" ref="C1405" ca="1">IF(INDIRECT("'Student_Record 1'!E" &amp; ROW())="", "", INDIRECT("'Student_Record 1'!E" &amp; ROW()))</f>
        <v/>
      </c>
      <c r="D1405" s="8" t="str" cm="1">
        <f t="array" aca="1" ref="D1405" ca="1">IF(INDIRECT("'Student_Record 1'!G" &amp; ROW())="", "", INDIRECT("'Student_Record 1'!G" &amp; ROW()))</f>
        <v/>
      </c>
      <c r="E1405" s="8" t="str" cm="1">
        <f t="array" aca="1" ref="E1405" ca="1">IF(INDIRECT("'Student_Record 1'!I" &amp; ROW())="", "", INDIRECT("'Student_Record 1'!I" &amp; ROW()))</f>
        <v/>
      </c>
      <c r="F1405" s="8" t="str" cm="1">
        <f t="array" aca="1" ref="F1405" ca="1">IF(INDIRECT("'Student_Record 1'!O" &amp; ROW())="", "", INDIRECT("'Student_Record 1'!O" &amp; ROW()))</f>
        <v/>
      </c>
    </row>
    <row r="1406" spans="1:6" x14ac:dyDescent="0.25">
      <c r="A1406" s="8" t="str" cm="1">
        <f t="array" aca="1" ref="A1406" ca="1">IF(INDIRECT("'Student_Record 1'!A" &amp; ROW())="", "", INDIRECT("'Student_Record 1'!A" &amp; ROW()))</f>
        <v/>
      </c>
      <c r="B1406" s="8" t="str" cm="1">
        <f t="array" aca="1" ref="B1406" ca="1">IF(INDIRECT("'Student_Record 1'!C" &amp; ROW())="", "", INDIRECT("'Student_Record 1'!C" &amp; ROW()))</f>
        <v/>
      </c>
      <c r="C1406" s="8" t="str" cm="1">
        <f t="array" aca="1" ref="C1406" ca="1">IF(INDIRECT("'Student_Record 1'!E" &amp; ROW())="", "", INDIRECT("'Student_Record 1'!E" &amp; ROW()))</f>
        <v/>
      </c>
      <c r="D1406" s="8" t="str" cm="1">
        <f t="array" aca="1" ref="D1406" ca="1">IF(INDIRECT("'Student_Record 1'!G" &amp; ROW())="", "", INDIRECT("'Student_Record 1'!G" &amp; ROW()))</f>
        <v/>
      </c>
      <c r="E1406" s="8" t="str" cm="1">
        <f t="array" aca="1" ref="E1406" ca="1">IF(INDIRECT("'Student_Record 1'!I" &amp; ROW())="", "", INDIRECT("'Student_Record 1'!I" &amp; ROW()))</f>
        <v/>
      </c>
      <c r="F1406" s="8" t="str" cm="1">
        <f t="array" aca="1" ref="F1406" ca="1">IF(INDIRECT("'Student_Record 1'!O" &amp; ROW())="", "", INDIRECT("'Student_Record 1'!O" &amp; ROW()))</f>
        <v/>
      </c>
    </row>
    <row r="1407" spans="1:6" x14ac:dyDescent="0.25">
      <c r="A1407" s="8" t="str" cm="1">
        <f t="array" aca="1" ref="A1407" ca="1">IF(INDIRECT("'Student_Record 1'!A" &amp; ROW())="", "", INDIRECT("'Student_Record 1'!A" &amp; ROW()))</f>
        <v/>
      </c>
      <c r="B1407" s="8" t="str" cm="1">
        <f t="array" aca="1" ref="B1407" ca="1">IF(INDIRECT("'Student_Record 1'!C" &amp; ROW())="", "", INDIRECT("'Student_Record 1'!C" &amp; ROW()))</f>
        <v/>
      </c>
      <c r="C1407" s="8" t="str" cm="1">
        <f t="array" aca="1" ref="C1407" ca="1">IF(INDIRECT("'Student_Record 1'!E" &amp; ROW())="", "", INDIRECT("'Student_Record 1'!E" &amp; ROW()))</f>
        <v/>
      </c>
      <c r="D1407" s="8" t="str" cm="1">
        <f t="array" aca="1" ref="D1407" ca="1">IF(INDIRECT("'Student_Record 1'!G" &amp; ROW())="", "", INDIRECT("'Student_Record 1'!G" &amp; ROW()))</f>
        <v/>
      </c>
      <c r="E1407" s="8" t="str" cm="1">
        <f t="array" aca="1" ref="E1407" ca="1">IF(INDIRECT("'Student_Record 1'!I" &amp; ROW())="", "", INDIRECT("'Student_Record 1'!I" &amp; ROW()))</f>
        <v/>
      </c>
      <c r="F1407" s="8" t="str" cm="1">
        <f t="array" aca="1" ref="F1407" ca="1">IF(INDIRECT("'Student_Record 1'!O" &amp; ROW())="", "", INDIRECT("'Student_Record 1'!O" &amp; ROW()))</f>
        <v/>
      </c>
    </row>
    <row r="1408" spans="1:6" x14ac:dyDescent="0.25">
      <c r="A1408" s="8" t="str" cm="1">
        <f t="array" aca="1" ref="A1408" ca="1">IF(INDIRECT("'Student_Record 1'!A" &amp; ROW())="", "", INDIRECT("'Student_Record 1'!A" &amp; ROW()))</f>
        <v/>
      </c>
      <c r="B1408" s="8" t="str" cm="1">
        <f t="array" aca="1" ref="B1408" ca="1">IF(INDIRECT("'Student_Record 1'!C" &amp; ROW())="", "", INDIRECT("'Student_Record 1'!C" &amp; ROW()))</f>
        <v/>
      </c>
      <c r="C1408" s="8" t="str" cm="1">
        <f t="array" aca="1" ref="C1408" ca="1">IF(INDIRECT("'Student_Record 1'!E" &amp; ROW())="", "", INDIRECT("'Student_Record 1'!E" &amp; ROW()))</f>
        <v/>
      </c>
      <c r="D1408" s="8" t="str" cm="1">
        <f t="array" aca="1" ref="D1408" ca="1">IF(INDIRECT("'Student_Record 1'!G" &amp; ROW())="", "", INDIRECT("'Student_Record 1'!G" &amp; ROW()))</f>
        <v/>
      </c>
      <c r="E1408" s="8" t="str" cm="1">
        <f t="array" aca="1" ref="E1408" ca="1">IF(INDIRECT("'Student_Record 1'!I" &amp; ROW())="", "", INDIRECT("'Student_Record 1'!I" &amp; ROW()))</f>
        <v/>
      </c>
      <c r="F1408" s="8" t="str" cm="1">
        <f t="array" aca="1" ref="F1408" ca="1">IF(INDIRECT("'Student_Record 1'!O" &amp; ROW())="", "", INDIRECT("'Student_Record 1'!O" &amp; ROW()))</f>
        <v/>
      </c>
    </row>
    <row r="1409" spans="1:6" x14ac:dyDescent="0.25">
      <c r="A1409" s="8" t="str" cm="1">
        <f t="array" aca="1" ref="A1409" ca="1">IF(INDIRECT("'Student_Record 1'!A" &amp; ROW())="", "", INDIRECT("'Student_Record 1'!A" &amp; ROW()))</f>
        <v/>
      </c>
      <c r="B1409" s="8" t="str" cm="1">
        <f t="array" aca="1" ref="B1409" ca="1">IF(INDIRECT("'Student_Record 1'!C" &amp; ROW())="", "", INDIRECT("'Student_Record 1'!C" &amp; ROW()))</f>
        <v/>
      </c>
      <c r="C1409" s="8" t="str" cm="1">
        <f t="array" aca="1" ref="C1409" ca="1">IF(INDIRECT("'Student_Record 1'!E" &amp; ROW())="", "", INDIRECT("'Student_Record 1'!E" &amp; ROW()))</f>
        <v/>
      </c>
      <c r="D1409" s="8" t="str" cm="1">
        <f t="array" aca="1" ref="D1409" ca="1">IF(INDIRECT("'Student_Record 1'!G" &amp; ROW())="", "", INDIRECT("'Student_Record 1'!G" &amp; ROW()))</f>
        <v/>
      </c>
      <c r="E1409" s="8" t="str" cm="1">
        <f t="array" aca="1" ref="E1409" ca="1">IF(INDIRECT("'Student_Record 1'!I" &amp; ROW())="", "", INDIRECT("'Student_Record 1'!I" &amp; ROW()))</f>
        <v/>
      </c>
      <c r="F1409" s="8" t="str" cm="1">
        <f t="array" aca="1" ref="F1409" ca="1">IF(INDIRECT("'Student_Record 1'!O" &amp; ROW())="", "", INDIRECT("'Student_Record 1'!O" &amp; ROW()))</f>
        <v/>
      </c>
    </row>
    <row r="1410" spans="1:6" x14ac:dyDescent="0.25">
      <c r="A1410" s="8" t="str" cm="1">
        <f t="array" aca="1" ref="A1410" ca="1">IF(INDIRECT("'Student_Record 1'!A" &amp; ROW())="", "", INDIRECT("'Student_Record 1'!A" &amp; ROW()))</f>
        <v/>
      </c>
      <c r="B1410" s="8" t="str" cm="1">
        <f t="array" aca="1" ref="B1410" ca="1">IF(INDIRECT("'Student_Record 1'!C" &amp; ROW())="", "", INDIRECT("'Student_Record 1'!C" &amp; ROW()))</f>
        <v/>
      </c>
      <c r="C1410" s="8" t="str" cm="1">
        <f t="array" aca="1" ref="C1410" ca="1">IF(INDIRECT("'Student_Record 1'!E" &amp; ROW())="", "", INDIRECT("'Student_Record 1'!E" &amp; ROW()))</f>
        <v/>
      </c>
      <c r="D1410" s="8" t="str" cm="1">
        <f t="array" aca="1" ref="D1410" ca="1">IF(INDIRECT("'Student_Record 1'!G" &amp; ROW())="", "", INDIRECT("'Student_Record 1'!G" &amp; ROW()))</f>
        <v/>
      </c>
      <c r="E1410" s="8" t="str" cm="1">
        <f t="array" aca="1" ref="E1410" ca="1">IF(INDIRECT("'Student_Record 1'!I" &amp; ROW())="", "", INDIRECT("'Student_Record 1'!I" &amp; ROW()))</f>
        <v/>
      </c>
      <c r="F1410" s="8" t="str" cm="1">
        <f t="array" aca="1" ref="F1410" ca="1">IF(INDIRECT("'Student_Record 1'!O" &amp; ROW())="", "", INDIRECT("'Student_Record 1'!O" &amp; ROW()))</f>
        <v/>
      </c>
    </row>
    <row r="1411" spans="1:6" x14ac:dyDescent="0.25">
      <c r="A1411" s="8" t="str" cm="1">
        <f t="array" aca="1" ref="A1411" ca="1">IF(INDIRECT("'Student_Record 1'!A" &amp; ROW())="", "", INDIRECT("'Student_Record 1'!A" &amp; ROW()))</f>
        <v/>
      </c>
      <c r="B1411" s="8" t="str" cm="1">
        <f t="array" aca="1" ref="B1411" ca="1">IF(INDIRECT("'Student_Record 1'!C" &amp; ROW())="", "", INDIRECT("'Student_Record 1'!C" &amp; ROW()))</f>
        <v/>
      </c>
      <c r="C1411" s="8" t="str" cm="1">
        <f t="array" aca="1" ref="C1411" ca="1">IF(INDIRECT("'Student_Record 1'!E" &amp; ROW())="", "", INDIRECT("'Student_Record 1'!E" &amp; ROW()))</f>
        <v/>
      </c>
      <c r="D1411" s="8" t="str" cm="1">
        <f t="array" aca="1" ref="D1411" ca="1">IF(INDIRECT("'Student_Record 1'!G" &amp; ROW())="", "", INDIRECT("'Student_Record 1'!G" &amp; ROW()))</f>
        <v/>
      </c>
      <c r="E1411" s="8" t="str" cm="1">
        <f t="array" aca="1" ref="E1411" ca="1">IF(INDIRECT("'Student_Record 1'!I" &amp; ROW())="", "", INDIRECT("'Student_Record 1'!I" &amp; ROW()))</f>
        <v/>
      </c>
      <c r="F1411" s="8" t="str" cm="1">
        <f t="array" aca="1" ref="F1411" ca="1">IF(INDIRECT("'Student_Record 1'!O" &amp; ROW())="", "", INDIRECT("'Student_Record 1'!O" &amp; ROW()))</f>
        <v/>
      </c>
    </row>
    <row r="1412" spans="1:6" x14ac:dyDescent="0.25">
      <c r="A1412" s="8" t="str" cm="1">
        <f t="array" aca="1" ref="A1412" ca="1">IF(INDIRECT("'Student_Record 1'!A" &amp; ROW())="", "", INDIRECT("'Student_Record 1'!A" &amp; ROW()))</f>
        <v/>
      </c>
      <c r="B1412" s="8" t="str" cm="1">
        <f t="array" aca="1" ref="B1412" ca="1">IF(INDIRECT("'Student_Record 1'!C" &amp; ROW())="", "", INDIRECT("'Student_Record 1'!C" &amp; ROW()))</f>
        <v/>
      </c>
      <c r="C1412" s="8" t="str" cm="1">
        <f t="array" aca="1" ref="C1412" ca="1">IF(INDIRECT("'Student_Record 1'!E" &amp; ROW())="", "", INDIRECT("'Student_Record 1'!E" &amp; ROW()))</f>
        <v/>
      </c>
      <c r="D1412" s="8" t="str" cm="1">
        <f t="array" aca="1" ref="D1412" ca="1">IF(INDIRECT("'Student_Record 1'!G" &amp; ROW())="", "", INDIRECT("'Student_Record 1'!G" &amp; ROW()))</f>
        <v/>
      </c>
      <c r="E1412" s="8" t="str" cm="1">
        <f t="array" aca="1" ref="E1412" ca="1">IF(INDIRECT("'Student_Record 1'!I" &amp; ROW())="", "", INDIRECT("'Student_Record 1'!I" &amp; ROW()))</f>
        <v/>
      </c>
      <c r="F1412" s="8" t="str" cm="1">
        <f t="array" aca="1" ref="F1412" ca="1">IF(INDIRECT("'Student_Record 1'!O" &amp; ROW())="", "", INDIRECT("'Student_Record 1'!O" &amp; ROW()))</f>
        <v/>
      </c>
    </row>
    <row r="1413" spans="1:6" x14ac:dyDescent="0.25">
      <c r="A1413" s="8" t="str" cm="1">
        <f t="array" aca="1" ref="A1413" ca="1">IF(INDIRECT("'Student_Record 1'!A" &amp; ROW())="", "", INDIRECT("'Student_Record 1'!A" &amp; ROW()))</f>
        <v/>
      </c>
      <c r="B1413" s="8" t="str" cm="1">
        <f t="array" aca="1" ref="B1413" ca="1">IF(INDIRECT("'Student_Record 1'!C" &amp; ROW())="", "", INDIRECT("'Student_Record 1'!C" &amp; ROW()))</f>
        <v/>
      </c>
      <c r="C1413" s="8" t="str" cm="1">
        <f t="array" aca="1" ref="C1413" ca="1">IF(INDIRECT("'Student_Record 1'!E" &amp; ROW())="", "", INDIRECT("'Student_Record 1'!E" &amp; ROW()))</f>
        <v/>
      </c>
      <c r="D1413" s="8" t="str" cm="1">
        <f t="array" aca="1" ref="D1413" ca="1">IF(INDIRECT("'Student_Record 1'!G" &amp; ROW())="", "", INDIRECT("'Student_Record 1'!G" &amp; ROW()))</f>
        <v/>
      </c>
      <c r="E1413" s="8" t="str" cm="1">
        <f t="array" aca="1" ref="E1413" ca="1">IF(INDIRECT("'Student_Record 1'!I" &amp; ROW())="", "", INDIRECT("'Student_Record 1'!I" &amp; ROW()))</f>
        <v/>
      </c>
      <c r="F1413" s="8" t="str" cm="1">
        <f t="array" aca="1" ref="F1413" ca="1">IF(INDIRECT("'Student_Record 1'!O" &amp; ROW())="", "", INDIRECT("'Student_Record 1'!O" &amp; ROW()))</f>
        <v/>
      </c>
    </row>
    <row r="1414" spans="1:6" x14ac:dyDescent="0.25">
      <c r="A1414" s="8" t="str" cm="1">
        <f t="array" aca="1" ref="A1414" ca="1">IF(INDIRECT("'Student_Record 1'!A" &amp; ROW())="", "", INDIRECT("'Student_Record 1'!A" &amp; ROW()))</f>
        <v/>
      </c>
      <c r="B1414" s="8" t="str" cm="1">
        <f t="array" aca="1" ref="B1414" ca="1">IF(INDIRECT("'Student_Record 1'!C" &amp; ROW())="", "", INDIRECT("'Student_Record 1'!C" &amp; ROW()))</f>
        <v/>
      </c>
      <c r="C1414" s="8" t="str" cm="1">
        <f t="array" aca="1" ref="C1414" ca="1">IF(INDIRECT("'Student_Record 1'!E" &amp; ROW())="", "", INDIRECT("'Student_Record 1'!E" &amp; ROW()))</f>
        <v/>
      </c>
      <c r="D1414" s="8" t="str" cm="1">
        <f t="array" aca="1" ref="D1414" ca="1">IF(INDIRECT("'Student_Record 1'!G" &amp; ROW())="", "", INDIRECT("'Student_Record 1'!G" &amp; ROW()))</f>
        <v/>
      </c>
      <c r="E1414" s="8" t="str" cm="1">
        <f t="array" aca="1" ref="E1414" ca="1">IF(INDIRECT("'Student_Record 1'!I" &amp; ROW())="", "", INDIRECT("'Student_Record 1'!I" &amp; ROW()))</f>
        <v/>
      </c>
      <c r="F1414" s="8" t="str" cm="1">
        <f t="array" aca="1" ref="F1414" ca="1">IF(INDIRECT("'Student_Record 1'!O" &amp; ROW())="", "", INDIRECT("'Student_Record 1'!O" &amp; ROW()))</f>
        <v/>
      </c>
    </row>
    <row r="1415" spans="1:6" x14ac:dyDescent="0.25">
      <c r="A1415" s="8" t="str" cm="1">
        <f t="array" aca="1" ref="A1415" ca="1">IF(INDIRECT("'Student_Record 1'!A" &amp; ROW())="", "", INDIRECT("'Student_Record 1'!A" &amp; ROW()))</f>
        <v/>
      </c>
      <c r="B1415" s="8" t="str" cm="1">
        <f t="array" aca="1" ref="B1415" ca="1">IF(INDIRECT("'Student_Record 1'!C" &amp; ROW())="", "", INDIRECT("'Student_Record 1'!C" &amp; ROW()))</f>
        <v/>
      </c>
      <c r="C1415" s="8" t="str" cm="1">
        <f t="array" aca="1" ref="C1415" ca="1">IF(INDIRECT("'Student_Record 1'!E" &amp; ROW())="", "", INDIRECT("'Student_Record 1'!E" &amp; ROW()))</f>
        <v/>
      </c>
      <c r="D1415" s="8" t="str" cm="1">
        <f t="array" aca="1" ref="D1415" ca="1">IF(INDIRECT("'Student_Record 1'!G" &amp; ROW())="", "", INDIRECT("'Student_Record 1'!G" &amp; ROW()))</f>
        <v/>
      </c>
      <c r="E1415" s="8" t="str" cm="1">
        <f t="array" aca="1" ref="E1415" ca="1">IF(INDIRECT("'Student_Record 1'!I" &amp; ROW())="", "", INDIRECT("'Student_Record 1'!I" &amp; ROW()))</f>
        <v/>
      </c>
      <c r="F1415" s="8" t="str" cm="1">
        <f t="array" aca="1" ref="F1415" ca="1">IF(INDIRECT("'Student_Record 1'!O" &amp; ROW())="", "", INDIRECT("'Student_Record 1'!O" &amp; ROW()))</f>
        <v/>
      </c>
    </row>
    <row r="1416" spans="1:6" x14ac:dyDescent="0.25">
      <c r="A1416" s="8" t="str" cm="1">
        <f t="array" aca="1" ref="A1416" ca="1">IF(INDIRECT("'Student_Record 1'!A" &amp; ROW())="", "", INDIRECT("'Student_Record 1'!A" &amp; ROW()))</f>
        <v/>
      </c>
      <c r="B1416" s="8" t="str" cm="1">
        <f t="array" aca="1" ref="B1416" ca="1">IF(INDIRECT("'Student_Record 1'!C" &amp; ROW())="", "", INDIRECT("'Student_Record 1'!C" &amp; ROW()))</f>
        <v/>
      </c>
      <c r="C1416" s="8" t="str" cm="1">
        <f t="array" aca="1" ref="C1416" ca="1">IF(INDIRECT("'Student_Record 1'!E" &amp; ROW())="", "", INDIRECT("'Student_Record 1'!E" &amp; ROW()))</f>
        <v/>
      </c>
      <c r="D1416" s="8" t="str" cm="1">
        <f t="array" aca="1" ref="D1416" ca="1">IF(INDIRECT("'Student_Record 1'!G" &amp; ROW())="", "", INDIRECT("'Student_Record 1'!G" &amp; ROW()))</f>
        <v/>
      </c>
      <c r="E1416" s="8" t="str" cm="1">
        <f t="array" aca="1" ref="E1416" ca="1">IF(INDIRECT("'Student_Record 1'!I" &amp; ROW())="", "", INDIRECT("'Student_Record 1'!I" &amp; ROW()))</f>
        <v/>
      </c>
      <c r="F1416" s="8" t="str" cm="1">
        <f t="array" aca="1" ref="F1416" ca="1">IF(INDIRECT("'Student_Record 1'!O" &amp; ROW())="", "", INDIRECT("'Student_Record 1'!O" &amp; ROW()))</f>
        <v/>
      </c>
    </row>
    <row r="1417" spans="1:6" x14ac:dyDescent="0.25">
      <c r="A1417" s="8" t="str" cm="1">
        <f t="array" aca="1" ref="A1417" ca="1">IF(INDIRECT("'Student_Record 1'!A" &amp; ROW())="", "", INDIRECT("'Student_Record 1'!A" &amp; ROW()))</f>
        <v/>
      </c>
      <c r="B1417" s="8" t="str" cm="1">
        <f t="array" aca="1" ref="B1417" ca="1">IF(INDIRECT("'Student_Record 1'!C" &amp; ROW())="", "", INDIRECT("'Student_Record 1'!C" &amp; ROW()))</f>
        <v/>
      </c>
      <c r="C1417" s="8" t="str" cm="1">
        <f t="array" aca="1" ref="C1417" ca="1">IF(INDIRECT("'Student_Record 1'!E" &amp; ROW())="", "", INDIRECT("'Student_Record 1'!E" &amp; ROW()))</f>
        <v/>
      </c>
      <c r="D1417" s="8" t="str" cm="1">
        <f t="array" aca="1" ref="D1417" ca="1">IF(INDIRECT("'Student_Record 1'!G" &amp; ROW())="", "", INDIRECT("'Student_Record 1'!G" &amp; ROW()))</f>
        <v/>
      </c>
      <c r="E1417" s="8" t="str" cm="1">
        <f t="array" aca="1" ref="E1417" ca="1">IF(INDIRECT("'Student_Record 1'!I" &amp; ROW())="", "", INDIRECT("'Student_Record 1'!I" &amp; ROW()))</f>
        <v/>
      </c>
      <c r="F1417" s="8" t="str" cm="1">
        <f t="array" aca="1" ref="F1417" ca="1">IF(INDIRECT("'Student_Record 1'!O" &amp; ROW())="", "", INDIRECT("'Student_Record 1'!O" &amp; ROW()))</f>
        <v/>
      </c>
    </row>
    <row r="1418" spans="1:6" x14ac:dyDescent="0.25">
      <c r="A1418" s="8" t="str" cm="1">
        <f t="array" aca="1" ref="A1418" ca="1">IF(INDIRECT("'Student_Record 1'!A" &amp; ROW())="", "", INDIRECT("'Student_Record 1'!A" &amp; ROW()))</f>
        <v/>
      </c>
      <c r="B1418" s="8" t="str" cm="1">
        <f t="array" aca="1" ref="B1418" ca="1">IF(INDIRECT("'Student_Record 1'!C" &amp; ROW())="", "", INDIRECT("'Student_Record 1'!C" &amp; ROW()))</f>
        <v/>
      </c>
      <c r="C1418" s="8" t="str" cm="1">
        <f t="array" aca="1" ref="C1418" ca="1">IF(INDIRECT("'Student_Record 1'!E" &amp; ROW())="", "", INDIRECT("'Student_Record 1'!E" &amp; ROW()))</f>
        <v/>
      </c>
      <c r="D1418" s="8" t="str" cm="1">
        <f t="array" aca="1" ref="D1418" ca="1">IF(INDIRECT("'Student_Record 1'!G" &amp; ROW())="", "", INDIRECT("'Student_Record 1'!G" &amp; ROW()))</f>
        <v/>
      </c>
      <c r="E1418" s="8" t="str" cm="1">
        <f t="array" aca="1" ref="E1418" ca="1">IF(INDIRECT("'Student_Record 1'!I" &amp; ROW())="", "", INDIRECT("'Student_Record 1'!I" &amp; ROW()))</f>
        <v/>
      </c>
      <c r="F1418" s="8" t="str" cm="1">
        <f t="array" aca="1" ref="F1418" ca="1">IF(INDIRECT("'Student_Record 1'!O" &amp; ROW())="", "", INDIRECT("'Student_Record 1'!O" &amp; ROW()))</f>
        <v/>
      </c>
    </row>
    <row r="1419" spans="1:6" x14ac:dyDescent="0.25">
      <c r="A1419" s="8" t="str" cm="1">
        <f t="array" aca="1" ref="A1419" ca="1">IF(INDIRECT("'Student_Record 1'!A" &amp; ROW())="", "", INDIRECT("'Student_Record 1'!A" &amp; ROW()))</f>
        <v/>
      </c>
      <c r="B1419" s="8" t="str" cm="1">
        <f t="array" aca="1" ref="B1419" ca="1">IF(INDIRECT("'Student_Record 1'!C" &amp; ROW())="", "", INDIRECT("'Student_Record 1'!C" &amp; ROW()))</f>
        <v/>
      </c>
      <c r="C1419" s="8" t="str" cm="1">
        <f t="array" aca="1" ref="C1419" ca="1">IF(INDIRECT("'Student_Record 1'!E" &amp; ROW())="", "", INDIRECT("'Student_Record 1'!E" &amp; ROW()))</f>
        <v/>
      </c>
      <c r="D1419" s="8" t="str" cm="1">
        <f t="array" aca="1" ref="D1419" ca="1">IF(INDIRECT("'Student_Record 1'!G" &amp; ROW())="", "", INDIRECT("'Student_Record 1'!G" &amp; ROW()))</f>
        <v/>
      </c>
      <c r="E1419" s="8" t="str" cm="1">
        <f t="array" aca="1" ref="E1419" ca="1">IF(INDIRECT("'Student_Record 1'!I" &amp; ROW())="", "", INDIRECT("'Student_Record 1'!I" &amp; ROW()))</f>
        <v/>
      </c>
      <c r="F1419" s="8" t="str" cm="1">
        <f t="array" aca="1" ref="F1419" ca="1">IF(INDIRECT("'Student_Record 1'!O" &amp; ROW())="", "", INDIRECT("'Student_Record 1'!O" &amp; ROW()))</f>
        <v/>
      </c>
    </row>
    <row r="1420" spans="1:6" x14ac:dyDescent="0.25">
      <c r="A1420" s="8" t="str" cm="1">
        <f t="array" aca="1" ref="A1420" ca="1">IF(INDIRECT("'Student_Record 1'!A" &amp; ROW())="", "", INDIRECT("'Student_Record 1'!A" &amp; ROW()))</f>
        <v/>
      </c>
      <c r="B1420" s="8" t="str" cm="1">
        <f t="array" aca="1" ref="B1420" ca="1">IF(INDIRECT("'Student_Record 1'!C" &amp; ROW())="", "", INDIRECT("'Student_Record 1'!C" &amp; ROW()))</f>
        <v/>
      </c>
      <c r="C1420" s="8" t="str" cm="1">
        <f t="array" aca="1" ref="C1420" ca="1">IF(INDIRECT("'Student_Record 1'!E" &amp; ROW())="", "", INDIRECT("'Student_Record 1'!E" &amp; ROW()))</f>
        <v/>
      </c>
      <c r="D1420" s="8" t="str" cm="1">
        <f t="array" aca="1" ref="D1420" ca="1">IF(INDIRECT("'Student_Record 1'!G" &amp; ROW())="", "", INDIRECT("'Student_Record 1'!G" &amp; ROW()))</f>
        <v/>
      </c>
      <c r="E1420" s="8" t="str" cm="1">
        <f t="array" aca="1" ref="E1420" ca="1">IF(INDIRECT("'Student_Record 1'!I" &amp; ROW())="", "", INDIRECT("'Student_Record 1'!I" &amp; ROW()))</f>
        <v/>
      </c>
      <c r="F1420" s="8" t="str" cm="1">
        <f t="array" aca="1" ref="F1420" ca="1">IF(INDIRECT("'Student_Record 1'!O" &amp; ROW())="", "", INDIRECT("'Student_Record 1'!O" &amp; ROW()))</f>
        <v/>
      </c>
    </row>
    <row r="1421" spans="1:6" x14ac:dyDescent="0.25">
      <c r="A1421" s="8" t="str" cm="1">
        <f t="array" aca="1" ref="A1421" ca="1">IF(INDIRECT("'Student_Record 1'!A" &amp; ROW())="", "", INDIRECT("'Student_Record 1'!A" &amp; ROW()))</f>
        <v/>
      </c>
      <c r="B1421" s="8" t="str" cm="1">
        <f t="array" aca="1" ref="B1421" ca="1">IF(INDIRECT("'Student_Record 1'!C" &amp; ROW())="", "", INDIRECT("'Student_Record 1'!C" &amp; ROW()))</f>
        <v/>
      </c>
      <c r="C1421" s="8" t="str" cm="1">
        <f t="array" aca="1" ref="C1421" ca="1">IF(INDIRECT("'Student_Record 1'!E" &amp; ROW())="", "", INDIRECT("'Student_Record 1'!E" &amp; ROW()))</f>
        <v/>
      </c>
      <c r="D1421" s="8" t="str" cm="1">
        <f t="array" aca="1" ref="D1421" ca="1">IF(INDIRECT("'Student_Record 1'!G" &amp; ROW())="", "", INDIRECT("'Student_Record 1'!G" &amp; ROW()))</f>
        <v/>
      </c>
      <c r="E1421" s="8" t="str" cm="1">
        <f t="array" aca="1" ref="E1421" ca="1">IF(INDIRECT("'Student_Record 1'!I" &amp; ROW())="", "", INDIRECT("'Student_Record 1'!I" &amp; ROW()))</f>
        <v/>
      </c>
      <c r="F1421" s="8" t="str" cm="1">
        <f t="array" aca="1" ref="F1421" ca="1">IF(INDIRECT("'Student_Record 1'!O" &amp; ROW())="", "", INDIRECT("'Student_Record 1'!O" &amp; ROW()))</f>
        <v/>
      </c>
    </row>
    <row r="1422" spans="1:6" x14ac:dyDescent="0.25">
      <c r="A1422" s="8" t="str" cm="1">
        <f t="array" aca="1" ref="A1422" ca="1">IF(INDIRECT("'Student_Record 1'!A" &amp; ROW())="", "", INDIRECT("'Student_Record 1'!A" &amp; ROW()))</f>
        <v/>
      </c>
      <c r="B1422" s="8" t="str" cm="1">
        <f t="array" aca="1" ref="B1422" ca="1">IF(INDIRECT("'Student_Record 1'!C" &amp; ROW())="", "", INDIRECT("'Student_Record 1'!C" &amp; ROW()))</f>
        <v/>
      </c>
      <c r="C1422" s="8" t="str" cm="1">
        <f t="array" aca="1" ref="C1422" ca="1">IF(INDIRECT("'Student_Record 1'!E" &amp; ROW())="", "", INDIRECT("'Student_Record 1'!E" &amp; ROW()))</f>
        <v/>
      </c>
      <c r="D1422" s="8" t="str" cm="1">
        <f t="array" aca="1" ref="D1422" ca="1">IF(INDIRECT("'Student_Record 1'!G" &amp; ROW())="", "", INDIRECT("'Student_Record 1'!G" &amp; ROW()))</f>
        <v/>
      </c>
      <c r="E1422" s="8" t="str" cm="1">
        <f t="array" aca="1" ref="E1422" ca="1">IF(INDIRECT("'Student_Record 1'!I" &amp; ROW())="", "", INDIRECT("'Student_Record 1'!I" &amp; ROW()))</f>
        <v/>
      </c>
      <c r="F1422" s="8" t="str" cm="1">
        <f t="array" aca="1" ref="F1422" ca="1">IF(INDIRECT("'Student_Record 1'!O" &amp; ROW())="", "", INDIRECT("'Student_Record 1'!O" &amp; ROW()))</f>
        <v/>
      </c>
    </row>
    <row r="1423" spans="1:6" x14ac:dyDescent="0.25">
      <c r="A1423" s="8" t="str" cm="1">
        <f t="array" aca="1" ref="A1423" ca="1">IF(INDIRECT("'Student_Record 1'!A" &amp; ROW())="", "", INDIRECT("'Student_Record 1'!A" &amp; ROW()))</f>
        <v/>
      </c>
      <c r="B1423" s="8" t="str" cm="1">
        <f t="array" aca="1" ref="B1423" ca="1">IF(INDIRECT("'Student_Record 1'!C" &amp; ROW())="", "", INDIRECT("'Student_Record 1'!C" &amp; ROW()))</f>
        <v/>
      </c>
      <c r="C1423" s="8" t="str" cm="1">
        <f t="array" aca="1" ref="C1423" ca="1">IF(INDIRECT("'Student_Record 1'!E" &amp; ROW())="", "", INDIRECT("'Student_Record 1'!E" &amp; ROW()))</f>
        <v/>
      </c>
      <c r="D1423" s="8" t="str" cm="1">
        <f t="array" aca="1" ref="D1423" ca="1">IF(INDIRECT("'Student_Record 1'!G" &amp; ROW())="", "", INDIRECT("'Student_Record 1'!G" &amp; ROW()))</f>
        <v/>
      </c>
      <c r="E1423" s="8" t="str" cm="1">
        <f t="array" aca="1" ref="E1423" ca="1">IF(INDIRECT("'Student_Record 1'!I" &amp; ROW())="", "", INDIRECT("'Student_Record 1'!I" &amp; ROW()))</f>
        <v/>
      </c>
      <c r="F1423" s="8" t="str" cm="1">
        <f t="array" aca="1" ref="F1423" ca="1">IF(INDIRECT("'Student_Record 1'!O" &amp; ROW())="", "", INDIRECT("'Student_Record 1'!O" &amp; ROW()))</f>
        <v/>
      </c>
    </row>
    <row r="1424" spans="1:6" x14ac:dyDescent="0.25">
      <c r="A1424" s="8" t="str" cm="1">
        <f t="array" aca="1" ref="A1424" ca="1">IF(INDIRECT("'Student_Record 1'!A" &amp; ROW())="", "", INDIRECT("'Student_Record 1'!A" &amp; ROW()))</f>
        <v/>
      </c>
      <c r="B1424" s="8" t="str" cm="1">
        <f t="array" aca="1" ref="B1424" ca="1">IF(INDIRECT("'Student_Record 1'!C" &amp; ROW())="", "", INDIRECT("'Student_Record 1'!C" &amp; ROW()))</f>
        <v/>
      </c>
      <c r="C1424" s="8" t="str" cm="1">
        <f t="array" aca="1" ref="C1424" ca="1">IF(INDIRECT("'Student_Record 1'!E" &amp; ROW())="", "", INDIRECT("'Student_Record 1'!E" &amp; ROW()))</f>
        <v/>
      </c>
      <c r="D1424" s="8" t="str" cm="1">
        <f t="array" aca="1" ref="D1424" ca="1">IF(INDIRECT("'Student_Record 1'!G" &amp; ROW())="", "", INDIRECT("'Student_Record 1'!G" &amp; ROW()))</f>
        <v/>
      </c>
      <c r="E1424" s="8" t="str" cm="1">
        <f t="array" aca="1" ref="E1424" ca="1">IF(INDIRECT("'Student_Record 1'!I" &amp; ROW())="", "", INDIRECT("'Student_Record 1'!I" &amp; ROW()))</f>
        <v/>
      </c>
      <c r="F1424" s="8" t="str" cm="1">
        <f t="array" aca="1" ref="F1424" ca="1">IF(INDIRECT("'Student_Record 1'!O" &amp; ROW())="", "", INDIRECT("'Student_Record 1'!O" &amp; ROW()))</f>
        <v/>
      </c>
    </row>
    <row r="1425" spans="1:6" x14ac:dyDescent="0.25">
      <c r="A1425" s="8" t="str" cm="1">
        <f t="array" aca="1" ref="A1425" ca="1">IF(INDIRECT("'Student_Record 1'!A" &amp; ROW())="", "", INDIRECT("'Student_Record 1'!A" &amp; ROW()))</f>
        <v/>
      </c>
      <c r="B1425" s="8" t="str" cm="1">
        <f t="array" aca="1" ref="B1425" ca="1">IF(INDIRECT("'Student_Record 1'!C" &amp; ROW())="", "", INDIRECT("'Student_Record 1'!C" &amp; ROW()))</f>
        <v/>
      </c>
      <c r="C1425" s="8" t="str" cm="1">
        <f t="array" aca="1" ref="C1425" ca="1">IF(INDIRECT("'Student_Record 1'!E" &amp; ROW())="", "", INDIRECT("'Student_Record 1'!E" &amp; ROW()))</f>
        <v/>
      </c>
      <c r="D1425" s="8" t="str" cm="1">
        <f t="array" aca="1" ref="D1425" ca="1">IF(INDIRECT("'Student_Record 1'!G" &amp; ROW())="", "", INDIRECT("'Student_Record 1'!G" &amp; ROW()))</f>
        <v/>
      </c>
      <c r="E1425" s="8" t="str" cm="1">
        <f t="array" aca="1" ref="E1425" ca="1">IF(INDIRECT("'Student_Record 1'!I" &amp; ROW())="", "", INDIRECT("'Student_Record 1'!I" &amp; ROW()))</f>
        <v/>
      </c>
      <c r="F1425" s="8" t="str" cm="1">
        <f t="array" aca="1" ref="F1425" ca="1">IF(INDIRECT("'Student_Record 1'!O" &amp; ROW())="", "", INDIRECT("'Student_Record 1'!O" &amp; ROW()))</f>
        <v/>
      </c>
    </row>
  </sheetData>
  <sheetProtection algorithmName="SHA-512" hashValue="8qHLG/io6ShKIpdaAv5ziAq0c0D8YRl8MinGL5q3vBbcmCxOI+doJ8+wAX5Xq/m6zwN0tFM0YmX8h26PDN0c0Q==" saltValue="QVZUrQxp8fByof67el+wAw==" spinCount="100000" sheet="1" formatCells="0" formatColumns="0"/>
  <mergeCells count="1">
    <mergeCell ref="R1:U1"/>
  </mergeCells>
  <conditionalFormatting sqref="A1001:XFD1048576 R7:XFD1000 A3:Q1000 A2:Y2 AA1:XFD6 R3:Y6 Z2:Z7 V1:Y1 A1:R1">
    <cfRule type="notContainsBlanks" dxfId="11" priority="1">
      <formula>LEN(TRIM(A1))&gt;0</formula>
    </cfRule>
  </conditionalFormatting>
  <dataValidations count="10">
    <dataValidation type="list" allowBlank="1" showInputMessage="1" showErrorMessage="1" sqref="G2:G1000" xr:uid="{241F0851-6A5D-4916-9EFF-A4AFCD5642C8}">
      <formula1>IF(ISBLANK(A2), INDIRECT("Z1000"), IF(AND(A2&gt;=1, A2&lt;=8), INDIRECT("List1"), IF(AND(A2&gt;=9, A2&lt;=12), INDIRECT("List2"), INDIRECT("Z1000"))))</formula1>
    </dataValidation>
    <dataValidation type="list" allowBlank="1" showInputMessage="1" showErrorMessage="1" sqref="J2:J1000" xr:uid="{3A8683C2-CB32-4137-B29B-93AFD3B9F8D6}">
      <formula1>IF(ISBLANK(A2), INDIRECT("Z1000"), IF(AND(A2&gt;=1, A2&lt;=8), INDIRECT("List1"), IF(AND(A2&gt;=9, A2&lt;=12), INDIRECT("List2"), INDIRECT("Z1000"))))</formula1>
    </dataValidation>
    <dataValidation type="list" allowBlank="1" showInputMessage="1" showErrorMessage="1" sqref="I2:I1000" xr:uid="{9AAB965E-697B-4215-BDF7-15FC8E90824C}">
      <formula1>IF(ISBLANK(A2), INDIRECT("Z1000"), IF(AND(A2&gt;=1, A2&lt;=8), INDIRECT("List1"), IF(AND(A2&gt;=9, A2&lt;=12), INDIRECT("List2"), INDIRECT("Z1000"))))</formula1>
    </dataValidation>
    <dataValidation type="list" allowBlank="1" showInputMessage="1" showErrorMessage="1" sqref="K2:K1000" xr:uid="{4A479A79-E425-40F0-8B69-256B7EAFBA36}">
      <formula1>IF(ISBLANK(A2), INDIRECT("Z1000"), IF(AND(A2&gt;=1, A2&lt;=8), INDIRECT("List1"), IF(AND(A2&gt;=9, A2&lt;=10), INDIRECT("List2"), INDIRECT("Z1000"))))</formula1>
    </dataValidation>
    <dataValidation type="list" allowBlank="1" showInputMessage="1" showErrorMessage="1" sqref="L2:L1000" xr:uid="{3977A57B-CCB7-4DD3-BDB3-6569377C2247}">
      <formula1>IF(ISBLANK(A2), INDIRECT("Z1000"), IF(AND(A2&gt;=6, A2&lt;=8), INDIRECT("List1"), IF(AND(A2&gt;=9, A2&lt;=10), INDIRECT("List2"), INDIRECT("Z1000"))))</formula1>
    </dataValidation>
    <dataValidation type="list" allowBlank="1" showInputMessage="1" showErrorMessage="1" sqref="M2:M1000" xr:uid="{DBE01294-DBB3-4421-961E-CB7ED8B49301}">
      <formula1>IF(ISBLANK(A2), INDIRECT("Z1000"), IF(AND(A2&gt;=6, A2&lt;=8), INDIRECT("List1"), IF(AND(A2&gt;=9, A2&lt;=10), INDIRECT("List2"), INDIRECT("Z1000"))))</formula1>
    </dataValidation>
    <dataValidation type="list" allowBlank="1" showInputMessage="1" showErrorMessage="1" sqref="N2:N1000" xr:uid="{7E1E5590-364D-4C2D-9635-AB286F92D86C}">
      <formula1>IF(ISBLANK(A2), INDIRECT("Z1000"), IF(AND(A2&gt;=1, A2&lt;=8), INDIRECT("List1"), IF(AND(A2&gt;=9, A2&lt;=10), INDIRECT("List2"), INDIRECT("Z1000"))))</formula1>
    </dataValidation>
    <dataValidation type="list" allowBlank="1" showInputMessage="1" showErrorMessage="1" sqref="O2:O1000" xr:uid="{A2CABC1B-2ED0-467F-B830-648279D23EA6}">
      <formula1>IF(AND(A2&gt;=11,A2&lt;=12),INDIRECT("List2"),INDIRECT("Z1000"))</formula1>
    </dataValidation>
    <dataValidation type="list" allowBlank="1" showInputMessage="1" showErrorMessage="1" sqref="P2:P1000" xr:uid="{67649C35-C8CD-4DDC-ACFA-1BECA65826D2}">
      <formula1>IF(AND(A2&gt;=11,A2&lt;=12),INDIRECT("List2"),INDIRECT("Z1000"))</formula1>
    </dataValidation>
    <dataValidation type="list" allowBlank="1" showInputMessage="1" showErrorMessage="1" sqref="Q2:Q1000" xr:uid="{AECD2704-049B-4E88-B369-EF58B3A2F859}">
      <formula1>IF(AND(A2&gt;=11,A2&lt;=12),INDIRECT("List2"),INDIRECT("Z1000"))</formula1>
    </dataValidation>
  </dataValidations>
  <pageMargins left="0.7" right="0.7" top="0.75" bottom="0.75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A1B46-1C2B-4A13-832A-55C7EE79AC4E}">
  <sheetPr codeName="Sheet4">
    <pageSetUpPr fitToPage="1"/>
  </sheetPr>
  <dimension ref="A1:AJ34"/>
  <sheetViews>
    <sheetView showGridLines="0" showRowColHeaders="0" zoomScale="77" zoomScaleNormal="77" zoomScaleSheetLayoutView="70" workbookViewId="0">
      <selection activeCell="Y1" sqref="Y1"/>
    </sheetView>
  </sheetViews>
  <sheetFormatPr defaultRowHeight="15" x14ac:dyDescent="0.25"/>
  <cols>
    <col min="1" max="24" width="9.140625" style="28"/>
    <col min="25" max="25" width="7.28515625" style="28" customWidth="1"/>
    <col min="26" max="26" width="7.140625" style="28" customWidth="1"/>
    <col min="27" max="27" width="6.28515625" style="28" customWidth="1"/>
    <col min="28" max="28" width="7" style="28" customWidth="1"/>
    <col min="29" max="29" width="8.42578125" style="28" bestFit="1" customWidth="1"/>
    <col min="30" max="30" width="11.42578125" style="28" bestFit="1" customWidth="1"/>
    <col min="31" max="16384" width="9.140625" style="28"/>
  </cols>
  <sheetData>
    <row r="1" spans="1:25" ht="30" thickBot="1" x14ac:dyDescent="0.3">
      <c r="A1" s="78" t="str">
        <f>'लिफाफा प्रिन्ट'!A1</f>
        <v xml:space="preserve">राजकीय उच्च माध्यमिक विद्यालय ,मोराझड़ी (214242) श्रीनगर 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54" t="s">
        <v>1437</v>
      </c>
      <c r="Y1" s="59">
        <v>12</v>
      </c>
    </row>
    <row r="2" spans="1:25" ht="18.75" x14ac:dyDescent="0.25">
      <c r="A2" s="83" t="str">
        <f>IF(Y1=9,"d{kk 9 esa mÙkh.kZ leLr Nk=@Nk=kvksa dh lwpukA ¼fyQkQk &amp; 2½",IF(Y1=10,"d{kk 10 esa mÙkh.kZ leLr Nk=@Nk=kvksa dh lwpukA ¼fyQkQk &amp; ½",IF(Y1=11,"d{kk 11 esa mÙkh.kZ leLr Nk=@Nk=kvksa dh lwpukA ¼fyQkQk &amp; 4½",IF(Y1=12,"d{kk 12 esa mÙkh.kZ leLr Nk=@Nk=kvksa dh lwpukA ¼fyQkQk &amp; ½",""))))</f>
        <v>d{kk 12 esa mÙkh.kZ leLr Nk=@Nk=kvksa dh lwpukA ¼fyQkQk &amp; ½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</row>
    <row r="3" spans="1:25" ht="15.75" x14ac:dyDescent="0.25">
      <c r="A3" s="85" t="s">
        <v>0</v>
      </c>
      <c r="B3" s="88" t="s">
        <v>1</v>
      </c>
      <c r="C3" s="81" t="s">
        <v>2</v>
      </c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91" t="s">
        <v>3</v>
      </c>
      <c r="V3" s="92"/>
      <c r="W3" s="93"/>
    </row>
    <row r="4" spans="1:25" x14ac:dyDescent="0.25">
      <c r="A4" s="86"/>
      <c r="B4" s="89"/>
      <c r="C4" s="82" t="s">
        <v>4</v>
      </c>
      <c r="D4" s="82"/>
      <c r="E4" s="82"/>
      <c r="F4" s="82" t="s">
        <v>5</v>
      </c>
      <c r="G4" s="82"/>
      <c r="H4" s="82"/>
      <c r="I4" s="82" t="s">
        <v>6</v>
      </c>
      <c r="J4" s="82"/>
      <c r="K4" s="82"/>
      <c r="L4" s="82" t="s">
        <v>7</v>
      </c>
      <c r="M4" s="82"/>
      <c r="N4" s="82"/>
      <c r="O4" s="82" t="s">
        <v>8</v>
      </c>
      <c r="P4" s="82"/>
      <c r="Q4" s="82"/>
      <c r="R4" s="82" t="s">
        <v>9</v>
      </c>
      <c r="S4" s="82"/>
      <c r="T4" s="82"/>
      <c r="U4" s="94"/>
      <c r="V4" s="95"/>
      <c r="W4" s="96"/>
    </row>
    <row r="5" spans="1:25" x14ac:dyDescent="0.25">
      <c r="A5" s="87"/>
      <c r="B5" s="90"/>
      <c r="C5" s="51" t="s">
        <v>10</v>
      </c>
      <c r="D5" s="51" t="s">
        <v>11</v>
      </c>
      <c r="E5" s="51" t="s">
        <v>12</v>
      </c>
      <c r="F5" s="51" t="s">
        <v>10</v>
      </c>
      <c r="G5" s="51" t="s">
        <v>11</v>
      </c>
      <c r="H5" s="51" t="s">
        <v>12</v>
      </c>
      <c r="I5" s="51" t="s">
        <v>10</v>
      </c>
      <c r="J5" s="51" t="s">
        <v>11</v>
      </c>
      <c r="K5" s="51" t="s">
        <v>12</v>
      </c>
      <c r="L5" s="51" t="s">
        <v>10</v>
      </c>
      <c r="M5" s="51" t="s">
        <v>11</v>
      </c>
      <c r="N5" s="51" t="s">
        <v>12</v>
      </c>
      <c r="O5" s="51" t="s">
        <v>10</v>
      </c>
      <c r="P5" s="51" t="s">
        <v>11</v>
      </c>
      <c r="Q5" s="51" t="s">
        <v>12</v>
      </c>
      <c r="R5" s="51" t="s">
        <v>10</v>
      </c>
      <c r="S5" s="51" t="s">
        <v>11</v>
      </c>
      <c r="T5" s="51" t="s">
        <v>12</v>
      </c>
      <c r="U5" s="51" t="s">
        <v>10</v>
      </c>
      <c r="V5" s="51" t="s">
        <v>11</v>
      </c>
      <c r="W5" s="51" t="s">
        <v>12</v>
      </c>
    </row>
    <row r="6" spans="1:25" ht="24.75" customHeight="1" x14ac:dyDescent="0.25">
      <c r="A6" s="51">
        <v>12040</v>
      </c>
      <c r="B6" s="55"/>
      <c r="C6" s="56" cm="1">
        <f t="array" aca="1" ref="C6" ca="1">IF(AND(ISNUMBER(Y1), Y1&gt;=9, Y1&lt;=12),
  SUMPRODUCT(
(STUDENTDATA!A2:A1000=Y1)*
(STUDENTDATA!F2:F1000="SC")*
(STUDENTDATA!E2:E1000="M")*
ISNUMBER(MATCH(STUDENTDATA!G2:G1000,{"A","B","C","D","E","I","II","III","अनुत्तीर्ण"},0))
))</f>
        <v>0</v>
      </c>
      <c r="D6" s="56" cm="1">
        <f t="array" aca="1" ref="D6" ca="1">IF(AND(ISNUMBER(Y1),Y1&gt;=9,Y1&lt;=12),
SUMPRODUCT(
(STUDENTDATA!A2:A1000=Y1)*
(STUDENTDATA!F2:F1000="SC")*
(STUDENTDATA!E2:E1000="F")*
ISNUMBER(MATCH(STUDENTDATA!G2:G1000,{"A","B","C","D","E","I","II","III","अनुत्तीर्ण"},0))
))</f>
        <v>0</v>
      </c>
      <c r="E6" s="56">
        <f ca="1">SUM(C6:D6)</f>
        <v>0</v>
      </c>
      <c r="F6" s="56" cm="1">
        <f t="array" aca="1" ref="F6" ca="1">IF(AND(ISNUMBER(Y1),Y1&gt;=9,Y1&lt;=12),
SUMPRODUCT(
(STUDENTDATA!A2:A1000=Y1)*
(STUDENTDATA!F2:F1000="ST")*
(STUDENTDATA!E2:E1000="M")*
ISNUMBER(MATCH(STUDENTDATA!G2:G1000,{"A","B","C","D","E","I","II","III","अनुत्तीर्ण"},0))))</f>
        <v>0</v>
      </c>
      <c r="G6" s="56" cm="1">
        <f t="array" aca="1" ref="G6" ca="1">IF(AND(ISNUMBER(Y1),Y1&gt;=9,Y1&lt;=12),
SUMPRODUCT(
(STUDENTDATA!A2:A1000=Y1)*
(STUDENTDATA!F2:F1000="ST")*
(STUDENTDATA!E2:E1000="F")*
ISNUMBER(MATCH(STUDENTDATA!G2:G1000,{"A","B","C","D","E","I","II","III","अनुत्तीर्ण"},0))
))</f>
        <v>0</v>
      </c>
      <c r="H6" s="56">
        <f ca="1">SUM(F6:G6)</f>
        <v>0</v>
      </c>
      <c r="I6" s="56" cm="1">
        <f t="array" aca="1" ref="I6" ca="1">IF(AND(ISNUMBER(Y1),Y1&gt;=9,Y1&lt;=12),
SUMPRODUCT(
(STUDENTDATA!A2:A1000=Y1)*
(STUDENTDATA!F2:F1000="OBC")*
(STUDENTDATA!E2:E1000="M")*
ISNUMBER(MATCH(STUDENTDATA!G2:G1000,{"A","B","C","D","E","I","II","III","अनुत्तीर्ण"},0))))</f>
        <v>0</v>
      </c>
      <c r="J6" s="56" cm="1">
        <f t="array" aca="1" ref="J6" ca="1">IF(AND(ISNUMBER(Y1),Y1&gt;=9,Y1&lt;=12),
SUMPRODUCT(
(STUDENTDATA!A2:A1000=Y1)*
(STUDENTDATA!F2:F1000="OBC")*
(STUDENTDATA!E2:E1000="F")*
ISNUMBER(MATCH(STUDENTDATA!G2:G1000,{"A","B","C","D","E","I","II","III","अनुत्तीर्ण"},0))))</f>
        <v>0</v>
      </c>
      <c r="K6" s="56">
        <f ca="1">SUM(I6:J6)</f>
        <v>0</v>
      </c>
      <c r="L6" s="56" cm="1">
        <f t="array" aca="1" ref="L6" ca="1">IF(AND(ISNUMBER(Y1),Y1&gt;=9,Y1&lt;=12),
SUMPRODUCT(
(STUDENTDATA!A2:A1000=Y1)*
(STUDENTDATA!F2:F1000="SBC")*
(STUDENTDATA!E2:E1000="M")*
ISNUMBER(MATCH(STUDENTDATA!G2:G1000,{"A","B","C","D","E","I","II","III","अनुत्तीर्ण"},0))))</f>
        <v>0</v>
      </c>
      <c r="M6" s="56" cm="1">
        <f t="array" aca="1" ref="M6" ca="1">IF(AND(ISNUMBER(Y1),Y1&gt;=9,Y1&lt;=12),
SUMPRODUCT(
(STUDENTDATA!A2:A1000=Y1)*
(STUDENTDATA!F2:F1000="SBC")*
(STUDENTDATA!E2:E1000="F")*
ISNUMBER(MATCH(STUDENTDATA!G2:G1000,{"A","B","C","D","E","I","II","III","अनुत्तीर्ण"},0))))</f>
        <v>0</v>
      </c>
      <c r="N6" s="56">
        <f ca="1">SUM(L6:M6)</f>
        <v>0</v>
      </c>
      <c r="O6" s="56" cm="1">
        <f t="array" aca="1" ref="O6" ca="1">IF(AND(ISNUMBER(Y1),Y1&gt;=9,Y1&lt;=12),
SUMPRODUCT(
(STUDENTDATA!A2:A1000=Y1)*
(STUDENTDATA!F2:F1000="GEN")*
(STUDENTDATA!E2:E1000="M")*
ISNUMBER(MATCH(STUDENTDATA!G2:G1000,{"A","B","C","D","E","I","II","III","अनुत्तीर्ण"},0))))</f>
        <v>0</v>
      </c>
      <c r="P6" s="56" cm="1">
        <f t="array" aca="1" ref="P6" ca="1">IF(AND(ISNUMBER(Y1),Y1&gt;=9,Y1&lt;=12),
SUMPRODUCT(
(STUDENTDATA!A2:A1000=Y1)*
(STUDENTDATA!F2:F1000="GEN")*
(STUDENTDATA!E2:E1000="F")*
ISNUMBER(MATCH(STUDENTDATA!G2:G1000,{"A","B","C","D","E","I","II","III","अनुत्तीर्ण"},0))))</f>
        <v>0</v>
      </c>
      <c r="Q6" s="56">
        <f ca="1">SUM(O6:P6)</f>
        <v>0</v>
      </c>
      <c r="R6" s="56" cm="1">
        <f t="array" aca="1" ref="R6" ca="1">IF(AND(ISNUMBER(Y1),Y1&gt;=9,Y1&lt;=12),
SUMPRODUCT(
(STUDENTDATA!A2:A1000=Y1)*
(STUDENTDATA!F2:F1000="MIN")*
(STUDENTDATA!E2:E1000="M")*
ISNUMBER(MATCH(STUDENTDATA!G2:G1000,{"A","B","C","D","E","I","II","III","अनुत्तीर्ण"},0))))</f>
        <v>0</v>
      </c>
      <c r="S6" s="56" cm="1">
        <f t="array" aca="1" ref="S6" ca="1">IF(AND(ISNUMBER(Y1),Y1&gt;=9,Y1&lt;=12),
SUMPRODUCT(
(STUDENTDATA!A2:A1000=Y1)*
(STUDENTDATA!F2:F1000="MIN")*
(STUDENTDATA!E2:E1000="F")*
ISNUMBER(MATCH(STUDENTDATA!G2:G1000,{"A","B","C","D","E","I","II","III","अनुत्तीर्ण"},0))))</f>
        <v>0</v>
      </c>
      <c r="T6" s="56">
        <f ca="1">SUM(R6:S6)</f>
        <v>0</v>
      </c>
      <c r="U6" s="56">
        <f ca="1">SUM(C6,F6,I6,L6,O6,R6)</f>
        <v>0</v>
      </c>
      <c r="V6" s="56">
        <f ca="1">SUM(D6,G6,J6,M6,P6,S6)</f>
        <v>0</v>
      </c>
      <c r="W6" s="56">
        <f ca="1">SUM(U6:V6)</f>
        <v>0</v>
      </c>
    </row>
    <row r="11" spans="1:25" ht="15.75" x14ac:dyDescent="0.25">
      <c r="A11" s="81" t="s">
        <v>13</v>
      </c>
      <c r="B11" s="81"/>
      <c r="C11" s="81"/>
      <c r="D11" s="81"/>
      <c r="E11" s="81"/>
      <c r="F11" s="81"/>
      <c r="G11" s="81"/>
      <c r="H11" s="81"/>
      <c r="I11" s="81"/>
      <c r="J11" s="81"/>
      <c r="K11" s="81"/>
      <c r="L11" s="81"/>
      <c r="M11" s="81"/>
      <c r="N11" s="81"/>
      <c r="O11" s="81"/>
      <c r="P11" s="81"/>
      <c r="Q11" s="81"/>
      <c r="R11" s="81"/>
      <c r="S11" s="81"/>
      <c r="T11" s="81"/>
      <c r="U11" s="81"/>
      <c r="V11" s="81"/>
      <c r="W11" s="81"/>
      <c r="X11" s="81"/>
    </row>
    <row r="12" spans="1:25" x14ac:dyDescent="0.25">
      <c r="A12" s="82" t="s">
        <v>4</v>
      </c>
      <c r="B12" s="82"/>
      <c r="C12" s="82"/>
      <c r="D12" s="82"/>
      <c r="E12" s="82" t="s">
        <v>5</v>
      </c>
      <c r="F12" s="82"/>
      <c r="G12" s="82"/>
      <c r="H12" s="82"/>
      <c r="I12" s="82" t="s">
        <v>6</v>
      </c>
      <c r="J12" s="82"/>
      <c r="K12" s="82"/>
      <c r="L12" s="82"/>
      <c r="M12" s="82" t="s">
        <v>7</v>
      </c>
      <c r="N12" s="82"/>
      <c r="O12" s="82"/>
      <c r="P12" s="82"/>
      <c r="Q12" s="82" t="s">
        <v>8</v>
      </c>
      <c r="R12" s="82"/>
      <c r="S12" s="82"/>
      <c r="T12" s="82"/>
      <c r="U12" s="82" t="s">
        <v>9</v>
      </c>
      <c r="V12" s="82"/>
      <c r="W12" s="82"/>
      <c r="X12" s="82"/>
    </row>
    <row r="13" spans="1:25" ht="15.75" x14ac:dyDescent="0.25">
      <c r="A13" s="51" t="s">
        <v>14</v>
      </c>
      <c r="B13" s="51" t="s">
        <v>15</v>
      </c>
      <c r="C13" s="51" t="s">
        <v>16</v>
      </c>
      <c r="D13" s="25" t="s">
        <v>3</v>
      </c>
      <c r="E13" s="51" t="s">
        <v>14</v>
      </c>
      <c r="F13" s="51" t="s">
        <v>15</v>
      </c>
      <c r="G13" s="51" t="s">
        <v>16</v>
      </c>
      <c r="H13" s="25" t="s">
        <v>3</v>
      </c>
      <c r="I13" s="51" t="s">
        <v>14</v>
      </c>
      <c r="J13" s="51" t="s">
        <v>15</v>
      </c>
      <c r="K13" s="51" t="s">
        <v>16</v>
      </c>
      <c r="L13" s="25" t="s">
        <v>3</v>
      </c>
      <c r="M13" s="51" t="s">
        <v>14</v>
      </c>
      <c r="N13" s="51" t="s">
        <v>15</v>
      </c>
      <c r="O13" s="51" t="s">
        <v>16</v>
      </c>
      <c r="P13" s="25" t="s">
        <v>3</v>
      </c>
      <c r="Q13" s="51" t="s">
        <v>14</v>
      </c>
      <c r="R13" s="51" t="s">
        <v>15</v>
      </c>
      <c r="S13" s="51" t="s">
        <v>16</v>
      </c>
      <c r="T13" s="25" t="s">
        <v>3</v>
      </c>
      <c r="U13" s="51" t="s">
        <v>14</v>
      </c>
      <c r="V13" s="51" t="s">
        <v>15</v>
      </c>
      <c r="W13" s="51" t="s">
        <v>16</v>
      </c>
      <c r="X13" s="25" t="s">
        <v>3</v>
      </c>
    </row>
    <row r="14" spans="1:25" ht="27" customHeight="1" x14ac:dyDescent="0.25">
      <c r="A14" s="52">
        <f>COUNTIFS(STUDENTDATA!$A:$A, LIFAFA2!$Y$1, STUDENTDATA!$F:$F, "SC", STUDENTDATA!$E:$E, "M", STUDENTDATA!$G:$G, "I")</f>
        <v>0</v>
      </c>
      <c r="B14" s="52">
        <f>COUNTIFS(STUDENTDATA!$A:$A, LIFAFA2!$Y$1, STUDENTDATA!$F:$F, "SC", STUDENTDATA!$E:$E, "M", STUDENTDATA!$G:$G, "II")</f>
        <v>0</v>
      </c>
      <c r="C14" s="52">
        <f>COUNTIFS(STUDENTDATA!$A:$A, LIFAFA2!$Y$1, STUDENTDATA!$F:$F, "SC", STUDENTDATA!$E:$E, "M", STUDENTDATA!$G:$G, "III")</f>
        <v>0</v>
      </c>
      <c r="D14" s="52">
        <f>A14 + B14 + C14</f>
        <v>0</v>
      </c>
      <c r="E14" s="52">
        <f>COUNTIFS(STUDENTDATA!$A:$A, LIFAFA2!$Y$1, STUDENTDATA!$F:$F, "ST", STUDENTDATA!$E:$E, "M", STUDENTDATA!$G:$G, "I")</f>
        <v>0</v>
      </c>
      <c r="F14" s="52">
        <f>COUNTIFS(STUDENTDATA!$A:$A, LIFAFA2!$Y$1, STUDENTDATA!$F:$F, "ST", STUDENTDATA!$E:$E, "M", STUDENTDATA!$G:$G, "II")</f>
        <v>0</v>
      </c>
      <c r="G14" s="52">
        <f>COUNTIFS(STUDENTDATA!$A:$A, LIFAFA2!$Y$1, STUDENTDATA!$F:$F, "ST", STUDENTDATA!$E:$E, "M", STUDENTDATA!$G:$G, "III")</f>
        <v>0</v>
      </c>
      <c r="H14" s="52">
        <f>E14 + F14 + G14</f>
        <v>0</v>
      </c>
      <c r="I14" s="52">
        <f>COUNTIFS(STUDENTDATA!$A:$A, LIFAFA2!$Y$1, STUDENTDATA!$F:$F, "OBC", STUDENTDATA!$E:$E, "M", STUDENTDATA!$G:$G, "I")</f>
        <v>0</v>
      </c>
      <c r="J14" s="52">
        <f>COUNTIFS(STUDENTDATA!$A:$A, LIFAFA2!$Y$1, STUDENTDATA!$F:$F, "OBC", STUDENTDATA!$E:$E, "M", STUDENTDATA!$G:$G, "II")</f>
        <v>0</v>
      </c>
      <c r="K14" s="52">
        <f>COUNTIFS(STUDENTDATA!$A:$A, LIFAFA2!$Y$1, STUDENTDATA!$F:$F, "OBC", STUDENTDATA!$E:$E, "M", STUDENTDATA!$G:$G, "III")</f>
        <v>0</v>
      </c>
      <c r="L14" s="52">
        <f>I14 + J14 + K14</f>
        <v>0</v>
      </c>
      <c r="M14" s="52">
        <f>COUNTIFS(STUDENTDATA!$A:$A, LIFAFA2!$Y$1, STUDENTDATA!$F:$F, "SBC", STUDENTDATA!$E:$E, "M", STUDENTDATA!$G:$G, "I")</f>
        <v>0</v>
      </c>
      <c r="N14" s="52">
        <f>COUNTIFS(STUDENTDATA!$A:$A, LIFAFA2!$Y$1, STUDENTDATA!$F:$F, "SBC", STUDENTDATA!$E:$E, "M", STUDENTDATA!$G:$G, "II")</f>
        <v>0</v>
      </c>
      <c r="O14" s="52">
        <f>COUNTIFS(STUDENTDATA!$A:$A, LIFAFA2!$Y$1, STUDENTDATA!$F:$F, "SBC", STUDENTDATA!$E:$E, "M", STUDENTDATA!$G:$G, "III")</f>
        <v>0</v>
      </c>
      <c r="P14" s="52">
        <f>M14 + N14 + O14</f>
        <v>0</v>
      </c>
      <c r="Q14" s="52">
        <f>COUNTIFS(STUDENTDATA!$A:$A, LIFAFA2!$Y$1, STUDENTDATA!$F:$F, "GEN", STUDENTDATA!$E:$E, "M", STUDENTDATA!$G:$G, "I")</f>
        <v>0</v>
      </c>
      <c r="R14" s="52">
        <f>COUNTIFS(STUDENTDATA!$A:$A, LIFAFA2!$Y$1, STUDENTDATA!$F:$F, "GEN", STUDENTDATA!$E:$E, "M", STUDENTDATA!$G:$G, "II")</f>
        <v>0</v>
      </c>
      <c r="S14" s="52">
        <f>COUNTIFS(STUDENTDATA!$A:$A, LIFAFA2!$Y$1, STUDENTDATA!$F:$F, "GEN", STUDENTDATA!$E:$E, "M", STUDENTDATA!$G:$G, "III")</f>
        <v>0</v>
      </c>
      <c r="T14" s="52">
        <f>Q14 + R14 + S14</f>
        <v>0</v>
      </c>
      <c r="U14" s="52">
        <f>COUNTIFS(STUDENTDATA!$A:$A, LIFAFA2!$Y$1, STUDENTDATA!$F:$F, "MIN", STUDENTDATA!$E:$E, "M", STUDENTDATA!$G:$G, "I")</f>
        <v>0</v>
      </c>
      <c r="V14" s="52">
        <f>COUNTIFS(STUDENTDATA!$A:$A, LIFAFA2!$Y$1, STUDENTDATA!$F:$F, "MIN", STUDENTDATA!$E:$E, "M", STUDENTDATA!$G:$G, "II")</f>
        <v>0</v>
      </c>
      <c r="W14" s="52">
        <f>COUNTIFS(STUDENTDATA!$A:$A, LIFAFA2!$Y$1, STUDENTDATA!$F:$F, "MIN", STUDENTDATA!$E:$E, "M", STUDENTDATA!$G:$G, "III")</f>
        <v>0</v>
      </c>
      <c r="X14" s="52">
        <f>U14 + V14 + W14</f>
        <v>0</v>
      </c>
    </row>
    <row r="19" spans="1:36" ht="15.75" x14ac:dyDescent="0.25">
      <c r="A19" s="81" t="s">
        <v>17</v>
      </c>
      <c r="B19" s="81"/>
      <c r="C19" s="81"/>
      <c r="D19" s="81"/>
      <c r="E19" s="81"/>
      <c r="F19" s="81"/>
      <c r="G19" s="81"/>
      <c r="H19" s="81"/>
      <c r="I19" s="81"/>
      <c r="J19" s="81"/>
      <c r="K19" s="81"/>
      <c r="L19" s="81"/>
      <c r="M19" s="81"/>
      <c r="N19" s="81"/>
      <c r="O19" s="81"/>
      <c r="P19" s="81"/>
      <c r="Q19" s="81"/>
      <c r="R19" s="81"/>
      <c r="S19" s="81"/>
      <c r="T19" s="81"/>
      <c r="U19" s="81"/>
      <c r="V19" s="81"/>
      <c r="W19" s="81"/>
      <c r="X19" s="81"/>
    </row>
    <row r="20" spans="1:36" x14ac:dyDescent="0.25">
      <c r="A20" s="82" t="s">
        <v>4</v>
      </c>
      <c r="B20" s="82"/>
      <c r="C20" s="82"/>
      <c r="D20" s="82"/>
      <c r="E20" s="82" t="s">
        <v>5</v>
      </c>
      <c r="F20" s="82"/>
      <c r="G20" s="82"/>
      <c r="H20" s="82"/>
      <c r="I20" s="82" t="s">
        <v>6</v>
      </c>
      <c r="J20" s="82"/>
      <c r="K20" s="82"/>
      <c r="L20" s="82"/>
      <c r="M20" s="82" t="s">
        <v>7</v>
      </c>
      <c r="N20" s="82"/>
      <c r="O20" s="82"/>
      <c r="P20" s="82"/>
      <c r="Q20" s="82" t="s">
        <v>8</v>
      </c>
      <c r="R20" s="82"/>
      <c r="S20" s="82"/>
      <c r="T20" s="82"/>
      <c r="U20" s="82" t="s">
        <v>9</v>
      </c>
      <c r="V20" s="82"/>
      <c r="W20" s="82"/>
      <c r="X20" s="82"/>
    </row>
    <row r="21" spans="1:36" ht="15.75" x14ac:dyDescent="0.25">
      <c r="A21" s="51" t="s">
        <v>14</v>
      </c>
      <c r="B21" s="51" t="s">
        <v>15</v>
      </c>
      <c r="C21" s="51" t="s">
        <v>16</v>
      </c>
      <c r="D21" s="25" t="s">
        <v>3</v>
      </c>
      <c r="E21" s="51" t="s">
        <v>14</v>
      </c>
      <c r="F21" s="51" t="s">
        <v>15</v>
      </c>
      <c r="G21" s="51" t="s">
        <v>16</v>
      </c>
      <c r="H21" s="25" t="s">
        <v>3</v>
      </c>
      <c r="I21" s="51" t="s">
        <v>14</v>
      </c>
      <c r="J21" s="51" t="s">
        <v>15</v>
      </c>
      <c r="K21" s="51" t="s">
        <v>16</v>
      </c>
      <c r="L21" s="25" t="s">
        <v>3</v>
      </c>
      <c r="M21" s="51" t="s">
        <v>14</v>
      </c>
      <c r="N21" s="51" t="s">
        <v>15</v>
      </c>
      <c r="O21" s="51" t="s">
        <v>16</v>
      </c>
      <c r="P21" s="25" t="s">
        <v>3</v>
      </c>
      <c r="Q21" s="51" t="s">
        <v>14</v>
      </c>
      <c r="R21" s="51" t="s">
        <v>15</v>
      </c>
      <c r="S21" s="51" t="s">
        <v>16</v>
      </c>
      <c r="T21" s="25" t="s">
        <v>3</v>
      </c>
      <c r="U21" s="51" t="s">
        <v>14</v>
      </c>
      <c r="V21" s="51" t="s">
        <v>15</v>
      </c>
      <c r="W21" s="51" t="s">
        <v>16</v>
      </c>
      <c r="X21" s="25" t="s">
        <v>3</v>
      </c>
    </row>
    <row r="22" spans="1:36" ht="27" customHeight="1" x14ac:dyDescent="0.25">
      <c r="A22" s="52">
        <f>COUNTIFS(STUDENTDATA!$A:$A, LIFAFA2!$Y$1, STUDENTDATA!$F:$F, "SC", STUDENTDATA!$E:$E, "F", STUDENTDATA!$G:$G, "I")</f>
        <v>0</v>
      </c>
      <c r="B22" s="52">
        <f>COUNTIFS(STUDENTDATA!$A:$A, LIFAFA2!$Y$1, STUDENTDATA!$F:$F, "SC", STUDENTDATA!$E:$E, "F", STUDENTDATA!$G:$G, "II")</f>
        <v>0</v>
      </c>
      <c r="C22" s="52">
        <f>COUNTIFS(STUDENTDATA!$A:$A, LIFAFA2!$Y$1, STUDENTDATA!$F:$F, "SC", STUDENTDATA!$E:$E, "F", STUDENTDATA!$G:$G, "III")</f>
        <v>0</v>
      </c>
      <c r="D22" s="52">
        <f>A22 + B22 + C22</f>
        <v>0</v>
      </c>
      <c r="E22" s="52">
        <f>COUNTIFS(STUDENTDATA!$A:$A, LIFAFA2!$Y$1, STUDENTDATA!$F:$F, "ST", STUDENTDATA!$E:$E, "F", STUDENTDATA!$G:$G, "I")</f>
        <v>0</v>
      </c>
      <c r="F22" s="52">
        <f>COUNTIFS(STUDENTDATA!$A:$A, LIFAFA2!$Y$1, STUDENTDATA!$F:$F, "ST", STUDENTDATA!$E:$E, "F", STUDENTDATA!$G:$G, "II")</f>
        <v>0</v>
      </c>
      <c r="G22" s="52">
        <f>COUNTIFS(STUDENTDATA!$A:$A, LIFAFA2!$Y$1, STUDENTDATA!$F:$F, "ST", STUDENTDATA!$E:$E, "F", STUDENTDATA!$G:$G, "III")</f>
        <v>0</v>
      </c>
      <c r="H22" s="52">
        <f>E22 + F22 + G22</f>
        <v>0</v>
      </c>
      <c r="I22" s="52">
        <f>COUNTIFS(STUDENTDATA!$A:$A, LIFAFA2!$Y$1, STUDENTDATA!$F:$F, "OBC", STUDENTDATA!$E:$E, "F", STUDENTDATA!$G:$G, "I")</f>
        <v>0</v>
      </c>
      <c r="J22" s="52">
        <f>COUNTIFS(STUDENTDATA!$A:$A, LIFAFA2!$Y$1, STUDENTDATA!$F:$F, "OBC", STUDENTDATA!$E:$E, "F", STUDENTDATA!$G:$G, "II")</f>
        <v>0</v>
      </c>
      <c r="K22" s="52">
        <f>COUNTIFS(STUDENTDATA!$A:$A, LIFAFA2!$Y$1, STUDENTDATA!$F:$F, "OBC", STUDENTDATA!$E:$E, "F", STUDENTDATA!$G:$G, "III")</f>
        <v>0</v>
      </c>
      <c r="L22" s="52">
        <f>I22 + J22 + K22</f>
        <v>0</v>
      </c>
      <c r="M22" s="52">
        <f>COUNTIFS(STUDENTDATA!$A:$A, LIFAFA2!$Y$1, STUDENTDATA!$F:$F, "SBC", STUDENTDATA!$E:$E, "F", STUDENTDATA!$G:$G, "I")</f>
        <v>0</v>
      </c>
      <c r="N22" s="52">
        <f>COUNTIFS(STUDENTDATA!$A:$A, LIFAFA2!$Y$1, STUDENTDATA!$F:$F, "SBC", STUDENTDATA!$E:$E, "F", STUDENTDATA!$G:$G, "II")</f>
        <v>0</v>
      </c>
      <c r="O22" s="52">
        <f>COUNTIFS(STUDENTDATA!$A:$A, LIFAFA2!$Y$1, STUDENTDATA!$F:$F, "SBC", STUDENTDATA!$E:$E, "F", STUDENTDATA!$G:$G, "III")</f>
        <v>0</v>
      </c>
      <c r="P22" s="52">
        <f>M22 + N22 + O22</f>
        <v>0</v>
      </c>
      <c r="Q22" s="52">
        <f>COUNTIFS(STUDENTDATA!$A:$A, LIFAFA2!$Y$1, STUDENTDATA!$F:$F, "GEN", STUDENTDATA!$E:$E, "F", STUDENTDATA!$G:$G, "I")</f>
        <v>0</v>
      </c>
      <c r="R22" s="52">
        <f>COUNTIFS(STUDENTDATA!$A:$A, LIFAFA2!$Y$1, STUDENTDATA!$F:$F, "GEN", STUDENTDATA!$E:$E, "F", STUDENTDATA!$G:$G, "II")</f>
        <v>0</v>
      </c>
      <c r="S22" s="52">
        <f>COUNTIFS(STUDENTDATA!$A:$A, LIFAFA2!$Y$1, STUDENTDATA!$F:$F, "GEN", STUDENTDATA!$E:$E, "F", STUDENTDATA!$G:$G, "III")</f>
        <v>0</v>
      </c>
      <c r="T22" s="52">
        <f>Q22 + R22 + S22</f>
        <v>0</v>
      </c>
      <c r="U22" s="52">
        <f>COUNTIFS(STUDENTDATA!$A:$A, LIFAFA2!$Y$1, STUDENTDATA!$F:$F, "MIN", STUDENTDATA!$E:$E, "F", STUDENTDATA!$G:$G, "I")</f>
        <v>0</v>
      </c>
      <c r="V22" s="52">
        <f>COUNTIFS(STUDENTDATA!$A:$A, LIFAFA2!$Y$1, STUDENTDATA!$F:$F, "MIN", STUDENTDATA!$E:$E, "F", STUDENTDATA!$G:$G, "II")</f>
        <v>0</v>
      </c>
      <c r="W22" s="52">
        <f>COUNTIFS(STUDENTDATA!$A:$A, LIFAFA2!$Y$1, STUDENTDATA!$F:$F, "MIN", STUDENTDATA!$E:$E, "F", STUDENTDATA!$G:$G, "III")</f>
        <v>0</v>
      </c>
      <c r="X22" s="52">
        <f>U22 + V22 + W22</f>
        <v>0</v>
      </c>
    </row>
    <row r="25" spans="1:36" ht="15.75" x14ac:dyDescent="0.25">
      <c r="A25" s="81" t="s">
        <v>18</v>
      </c>
      <c r="B25" s="81"/>
      <c r="C25" s="81"/>
      <c r="D25" s="81"/>
      <c r="E25" s="81"/>
      <c r="F25" s="81"/>
      <c r="G25" s="81"/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81"/>
      <c r="AD25" s="81"/>
    </row>
    <row r="26" spans="1:36" ht="15" customHeight="1" x14ac:dyDescent="0.25">
      <c r="A26" s="82" t="s">
        <v>4</v>
      </c>
      <c r="B26" s="82"/>
      <c r="C26" s="82"/>
      <c r="D26" s="82"/>
      <c r="E26" s="82" t="s">
        <v>5</v>
      </c>
      <c r="F26" s="82"/>
      <c r="G26" s="82"/>
      <c r="H26" s="82"/>
      <c r="I26" s="82" t="s">
        <v>6</v>
      </c>
      <c r="J26" s="82"/>
      <c r="K26" s="82"/>
      <c r="L26" s="82"/>
      <c r="M26" s="82" t="s">
        <v>7</v>
      </c>
      <c r="N26" s="82"/>
      <c r="O26" s="82"/>
      <c r="P26" s="82"/>
      <c r="Q26" s="82" t="s">
        <v>8</v>
      </c>
      <c r="R26" s="82"/>
      <c r="S26" s="82"/>
      <c r="T26" s="82"/>
      <c r="U26" s="82" t="s">
        <v>9</v>
      </c>
      <c r="V26" s="82"/>
      <c r="W26" s="82"/>
      <c r="X26" s="82"/>
      <c r="Y26" s="80" t="s">
        <v>3</v>
      </c>
      <c r="Z26" s="80"/>
      <c r="AA26" s="80"/>
      <c r="AB26" s="80"/>
      <c r="AC26" s="80"/>
      <c r="AD26" s="80"/>
    </row>
    <row r="27" spans="1:36" ht="15.75" x14ac:dyDescent="0.25">
      <c r="A27" s="51" t="s">
        <v>14</v>
      </c>
      <c r="B27" s="51" t="s">
        <v>15</v>
      </c>
      <c r="C27" s="51" t="s">
        <v>16</v>
      </c>
      <c r="D27" s="25" t="s">
        <v>3</v>
      </c>
      <c r="E27" s="51" t="s">
        <v>14</v>
      </c>
      <c r="F27" s="51" t="s">
        <v>15</v>
      </c>
      <c r="G27" s="51" t="s">
        <v>16</v>
      </c>
      <c r="H27" s="25" t="s">
        <v>3</v>
      </c>
      <c r="I27" s="51" t="s">
        <v>14</v>
      </c>
      <c r="J27" s="51" t="s">
        <v>15</v>
      </c>
      <c r="K27" s="51" t="s">
        <v>16</v>
      </c>
      <c r="L27" s="25" t="s">
        <v>3</v>
      </c>
      <c r="M27" s="51" t="s">
        <v>14</v>
      </c>
      <c r="N27" s="51" t="s">
        <v>15</v>
      </c>
      <c r="O27" s="51" t="s">
        <v>16</v>
      </c>
      <c r="P27" s="25" t="s">
        <v>3</v>
      </c>
      <c r="Q27" s="51" t="s">
        <v>14</v>
      </c>
      <c r="R27" s="51" t="s">
        <v>15</v>
      </c>
      <c r="S27" s="51" t="s">
        <v>16</v>
      </c>
      <c r="T27" s="25" t="s">
        <v>3</v>
      </c>
      <c r="U27" s="51" t="s">
        <v>14</v>
      </c>
      <c r="V27" s="51" t="s">
        <v>15</v>
      </c>
      <c r="W27" s="51" t="s">
        <v>16</v>
      </c>
      <c r="X27" s="25" t="s">
        <v>3</v>
      </c>
      <c r="Y27" s="51" t="s">
        <v>14</v>
      </c>
      <c r="Z27" s="51" t="s">
        <v>15</v>
      </c>
      <c r="AA27" s="51" t="s">
        <v>16</v>
      </c>
      <c r="AB27" s="51" t="s">
        <v>1435</v>
      </c>
      <c r="AC27" s="51" t="s">
        <v>1380</v>
      </c>
      <c r="AD27" s="51" t="s">
        <v>1379</v>
      </c>
      <c r="AE27" s="57"/>
      <c r="AF27" s="57"/>
      <c r="AG27" s="57"/>
      <c r="AH27" s="57"/>
      <c r="AI27" s="57"/>
      <c r="AJ27" s="57"/>
    </row>
    <row r="28" spans="1:36" ht="27.75" customHeight="1" x14ac:dyDescent="0.25">
      <c r="A28" s="52">
        <f>COUNTIFS(STUDENTDATA!$A:$A, LIFAFA2!$Y$1, STUDENTDATA!$F:$F, "SC", STUDENTDATA!$G:$G, "I")</f>
        <v>0</v>
      </c>
      <c r="B28" s="52">
        <f>COUNTIFS(STUDENTDATA!$A:$A, LIFAFA2!$Y$1, STUDENTDATA!$F:$F, "SC", STUDENTDATA!$G:$G, "II")</f>
        <v>0</v>
      </c>
      <c r="C28" s="52">
        <f>COUNTIFS(STUDENTDATA!$A:$A, LIFAFA2!$Y$1, STUDENTDATA!$F:$F, "SC", STUDENTDATA!$G:$G, "III")</f>
        <v>0</v>
      </c>
      <c r="D28" s="52">
        <f>A28+B28+C28</f>
        <v>0</v>
      </c>
      <c r="E28" s="52">
        <f>COUNTIFS(STUDENTDATA!$A:$A, LIFAFA2!$Y$1, STUDENTDATA!$F:$F, "ST", STUDENTDATA!$G:$G, "I")</f>
        <v>0</v>
      </c>
      <c r="F28" s="52">
        <f>COUNTIFS(STUDENTDATA!$A:$A, LIFAFA2!$Y$1, STUDENTDATA!$F:$F, "ST", STUDENTDATA!$G:$G, "II")</f>
        <v>0</v>
      </c>
      <c r="G28" s="52">
        <f>COUNTIFS(STUDENTDATA!$A:$A, LIFAFA2!$Y$1, STUDENTDATA!$F:$F, "ST", STUDENTDATA!$G:$G, "III")</f>
        <v>0</v>
      </c>
      <c r="H28" s="52">
        <f t="shared" ref="H28" si="0">E28+F28+G28</f>
        <v>0</v>
      </c>
      <c r="I28" s="52">
        <f>COUNTIFS(STUDENTDATA!$A:$A, LIFAFA2!$Y$1, STUDENTDATA!$F:$F, "OBC", STUDENTDATA!$G:$G, "I")</f>
        <v>0</v>
      </c>
      <c r="J28" s="52">
        <f>COUNTIFS(STUDENTDATA!$A:$A, LIFAFA2!$Y$1, STUDENTDATA!$F:$F, "OBC", STUDENTDATA!$G:$G, "II")</f>
        <v>0</v>
      </c>
      <c r="K28" s="52">
        <f>COUNTIFS(STUDENTDATA!$A:$A, LIFAFA2!$Y$1, STUDENTDATA!$F:$F, "OBC", STUDENTDATA!$G:$G, "III")</f>
        <v>0</v>
      </c>
      <c r="L28" s="52">
        <f t="shared" ref="L28" si="1">I28+J28+K28</f>
        <v>0</v>
      </c>
      <c r="M28" s="52">
        <f>COUNTIFS(STUDENTDATA!$A:$A, LIFAFA2!$Y$1, STUDENTDATA!$F:$F, "SBC", STUDENTDATA!$G:$G, "I")</f>
        <v>0</v>
      </c>
      <c r="N28" s="52">
        <f>COUNTIFS(STUDENTDATA!$A:$A, LIFAFA2!$Y$1, STUDENTDATA!$F:$F, "SBC", STUDENTDATA!$G:$G, "II")</f>
        <v>0</v>
      </c>
      <c r="O28" s="52">
        <f>COUNTIFS(STUDENTDATA!$A:$A, LIFAFA2!$Y$1, STUDENTDATA!$F:$F, "SBC", STUDENTDATA!$G:$G, "III")</f>
        <v>0</v>
      </c>
      <c r="P28" s="52">
        <f t="shared" ref="P28" si="2">M28+N28+O28</f>
        <v>0</v>
      </c>
      <c r="Q28" s="52">
        <f>COUNTIFS(STUDENTDATA!$A:$A, LIFAFA2!$Y$1, STUDENTDATA!$F:$F, "GEN", STUDENTDATA!$G:$G, "I")</f>
        <v>0</v>
      </c>
      <c r="R28" s="52">
        <f>COUNTIFS(STUDENTDATA!$A:$A, LIFAFA2!$Y$1, STUDENTDATA!$F:$F, "GEN", STUDENTDATA!$G:$G, "II")</f>
        <v>0</v>
      </c>
      <c r="S28" s="52">
        <f>COUNTIFS(STUDENTDATA!$A:$A, LIFAFA2!$Y$1, STUDENTDATA!$F:$F, "GEN", STUDENTDATA!$G:$G, "III")</f>
        <v>0</v>
      </c>
      <c r="T28" s="52">
        <f t="shared" ref="T28" si="3">Q28+R28+S28</f>
        <v>0</v>
      </c>
      <c r="U28" s="52">
        <f>COUNTIFS(STUDENTDATA!$A:$A, LIFAFA2!$Y$1, STUDENTDATA!$F:$F, "MIN", STUDENTDATA!$G:$G, "I")</f>
        <v>0</v>
      </c>
      <c r="V28" s="52">
        <f>COUNTIFS(STUDENTDATA!$A:$A, LIFAFA2!$Y$1, STUDENTDATA!$F:$F, "MIN", STUDENTDATA!$G:$G, "II")</f>
        <v>0</v>
      </c>
      <c r="W28" s="52">
        <f>COUNTIFS(STUDENTDATA!$A:$A, LIFAFA2!$Y$1, STUDENTDATA!$F:$F, "MIN", STUDENTDATA!$G:$G, "III")</f>
        <v>0</v>
      </c>
      <c r="X28" s="52">
        <f t="shared" ref="X28" si="4">U28+V28+W28</f>
        <v>0</v>
      </c>
      <c r="Y28" s="56">
        <f>A28+E28+I28+M28+Q28+U28</f>
        <v>0</v>
      </c>
      <c r="Z28" s="56">
        <f t="shared" ref="Z28:AA28" si="5">B28+F28+J28+N28+R28+V28</f>
        <v>0</v>
      </c>
      <c r="AA28" s="56">
        <f t="shared" si="5"/>
        <v>0</v>
      </c>
      <c r="AB28" s="56">
        <f>D28+H28+L28+P28+T28+X28</f>
        <v>0</v>
      </c>
      <c r="AC28" s="52">
        <f>C34+G34+K34+O34+S34+W34</f>
        <v>0</v>
      </c>
      <c r="AD28" s="52">
        <f>A34+E34+I34+M34+Q34+U34</f>
        <v>0</v>
      </c>
      <c r="AE28" s="57"/>
      <c r="AF28" s="57"/>
      <c r="AG28" s="57"/>
      <c r="AH28" s="57"/>
      <c r="AI28" s="57"/>
      <c r="AJ28" s="57"/>
    </row>
    <row r="29" spans="1:36" ht="24" customHeight="1" x14ac:dyDescent="0.25">
      <c r="A29" s="79" t="str">
        <f ca="1">IF(LIFAFA2!$E$6=0, "", TEXT(D28/LIFAFA2!$E$6, "0.00%"))</f>
        <v/>
      </c>
      <c r="B29" s="79"/>
      <c r="C29" s="79"/>
      <c r="D29" s="79"/>
      <c r="E29" s="79" t="str">
        <f ca="1">IF(LIFAFA2!$H$6=0, "", TEXT(H28/LIFAFA2!$H$6, "0.00%"))</f>
        <v/>
      </c>
      <c r="F29" s="79"/>
      <c r="G29" s="79"/>
      <c r="H29" s="79"/>
      <c r="I29" s="79" t="str">
        <f ca="1">IF(LIFAFA2!$K$6=0, "", TEXT(L28/LIFAFA2!$K$6, "0.00%"))</f>
        <v/>
      </c>
      <c r="J29" s="79"/>
      <c r="K29" s="79"/>
      <c r="L29" s="79"/>
      <c r="M29" s="79" t="str">
        <f ca="1">IF(LIFAFA2!$N$6=0, "", TEXT(P28/LIFAFA2!$N$6, "0.00%"))</f>
        <v/>
      </c>
      <c r="N29" s="79"/>
      <c r="O29" s="79"/>
      <c r="P29" s="79"/>
      <c r="Q29" s="79" t="str">
        <f ca="1">IF(LIFAFA2!$Q$6=0, "", TEXT(T28/LIFAFA2!$Q$6, "0.00%"))</f>
        <v/>
      </c>
      <c r="R29" s="79"/>
      <c r="S29" s="79"/>
      <c r="T29" s="79"/>
      <c r="U29" s="79" t="str">
        <f ca="1">IF(LIFAFA2!$T$6=0, "", TEXT(X28/LIFAFA2!$T$6, "0.00%"))</f>
        <v/>
      </c>
      <c r="V29" s="79"/>
      <c r="W29" s="79"/>
      <c r="X29" s="79"/>
      <c r="Y29" s="79" t="str">
        <f ca="1">IF(LIFAFA2!$W$6=0, "", TEXT(AB28/LIFAFA2!$W$6, "0.00%"))</f>
        <v/>
      </c>
      <c r="Z29" s="79"/>
      <c r="AA29" s="79"/>
      <c r="AB29" s="79"/>
      <c r="AC29" s="79"/>
      <c r="AD29" s="79"/>
      <c r="AE29" s="58"/>
      <c r="AF29" s="58"/>
      <c r="AG29" s="58"/>
      <c r="AH29" s="58"/>
      <c r="AI29" s="58"/>
      <c r="AJ29" s="58"/>
    </row>
    <row r="30" spans="1:36" x14ac:dyDescent="0.25">
      <c r="AE30" s="57"/>
      <c r="AF30" s="57"/>
      <c r="AG30" s="57"/>
      <c r="AH30" s="57"/>
      <c r="AI30" s="57"/>
      <c r="AJ30" s="57"/>
    </row>
    <row r="31" spans="1:36" ht="22.5" customHeight="1" x14ac:dyDescent="0.25">
      <c r="A31" s="84" t="s">
        <v>1382</v>
      </c>
      <c r="B31" s="84"/>
      <c r="C31" s="84"/>
      <c r="D31" s="84"/>
      <c r="E31" s="84"/>
      <c r="F31" s="84"/>
      <c r="G31" s="84"/>
      <c r="H31" s="84"/>
      <c r="I31" s="84"/>
      <c r="J31" s="84"/>
      <c r="K31" s="84"/>
      <c r="L31" s="84"/>
      <c r="M31" s="84"/>
      <c r="N31" s="84"/>
      <c r="O31" s="84"/>
      <c r="P31" s="84"/>
      <c r="Q31" s="84"/>
      <c r="R31" s="84"/>
      <c r="S31" s="84"/>
      <c r="T31" s="84"/>
      <c r="U31" s="84"/>
      <c r="V31" s="84"/>
      <c r="W31" s="84"/>
      <c r="X31" s="84"/>
      <c r="AE31" s="57"/>
      <c r="AF31" s="57"/>
      <c r="AG31" s="57"/>
      <c r="AH31" s="57"/>
      <c r="AI31" s="57"/>
      <c r="AJ31" s="57"/>
    </row>
    <row r="32" spans="1:36" ht="20.25" customHeight="1" x14ac:dyDescent="0.25">
      <c r="A32" s="82" t="s">
        <v>4</v>
      </c>
      <c r="B32" s="82"/>
      <c r="C32" s="82"/>
      <c r="D32" s="82"/>
      <c r="E32" s="82" t="s">
        <v>5</v>
      </c>
      <c r="F32" s="82"/>
      <c r="G32" s="82"/>
      <c r="H32" s="82"/>
      <c r="I32" s="82" t="s">
        <v>6</v>
      </c>
      <c r="J32" s="82"/>
      <c r="K32" s="82"/>
      <c r="L32" s="82"/>
      <c r="M32" s="82" t="s">
        <v>7</v>
      </c>
      <c r="N32" s="82"/>
      <c r="O32" s="82"/>
      <c r="P32" s="82"/>
      <c r="Q32" s="82" t="s">
        <v>8</v>
      </c>
      <c r="R32" s="82"/>
      <c r="S32" s="82"/>
      <c r="T32" s="82"/>
      <c r="U32" s="82" t="s">
        <v>9</v>
      </c>
      <c r="V32" s="82"/>
      <c r="W32" s="82"/>
      <c r="X32" s="82"/>
    </row>
    <row r="33" spans="1:24" ht="23.25" customHeight="1" x14ac:dyDescent="0.25">
      <c r="A33" s="97" t="s">
        <v>1381</v>
      </c>
      <c r="B33" s="97"/>
      <c r="C33" s="97" t="s">
        <v>1380</v>
      </c>
      <c r="D33" s="97"/>
      <c r="E33" s="97" t="s">
        <v>1381</v>
      </c>
      <c r="F33" s="97"/>
      <c r="G33" s="97" t="s">
        <v>1380</v>
      </c>
      <c r="H33" s="97"/>
      <c r="I33" s="97" t="s">
        <v>1381</v>
      </c>
      <c r="J33" s="97"/>
      <c r="K33" s="97" t="s">
        <v>1380</v>
      </c>
      <c r="L33" s="97"/>
      <c r="M33" s="97" t="s">
        <v>1381</v>
      </c>
      <c r="N33" s="97"/>
      <c r="O33" s="97" t="s">
        <v>1380</v>
      </c>
      <c r="P33" s="97"/>
      <c r="Q33" s="97" t="s">
        <v>1381</v>
      </c>
      <c r="R33" s="97"/>
      <c r="S33" s="97" t="s">
        <v>1380</v>
      </c>
      <c r="T33" s="97"/>
      <c r="U33" s="97" t="s">
        <v>1381</v>
      </c>
      <c r="V33" s="97"/>
      <c r="W33" s="97" t="s">
        <v>1380</v>
      </c>
      <c r="X33" s="97"/>
    </row>
    <row r="34" spans="1:24" ht="33" customHeight="1" x14ac:dyDescent="0.25">
      <c r="A34" s="79">
        <f>COUNTIFS(STUDENTDATA!$A:$A, LIFAFA2!$Y$1, STUDENTDATA!$F:$F, "SC", STUDENTDATA!$G:$G, "अनुपस्थित")</f>
        <v>0</v>
      </c>
      <c r="B34" s="79"/>
      <c r="C34" s="79">
        <f>COUNTIFS(STUDENTDATA!$A:$A, LIFAFA2!$Y$1, STUDENTDATA!$F:$F, "SC", STUDENTDATA!$G:$G, "अनुत्तीर्ण")</f>
        <v>0</v>
      </c>
      <c r="D34" s="79"/>
      <c r="E34" s="79">
        <f>COUNTIFS(STUDENTDATA!$A:$A, LIFAFA2!$Y$1, STUDENTDATA!$F:$F, "ST", STUDENTDATA!$G:$G, "अनुपस्थित")</f>
        <v>0</v>
      </c>
      <c r="F34" s="79"/>
      <c r="G34" s="79">
        <f>COUNTIFS(STUDENTDATA!$A:$A, LIFAFA2!$Y$1, STUDENTDATA!$F:$F, "ST", STUDENTDATA!$G:$G, "अनुत्तीर्ण")</f>
        <v>0</v>
      </c>
      <c r="H34" s="79"/>
      <c r="I34" s="79">
        <f>COUNTIFS(STUDENTDATA!$A:$A, LIFAFA2!$Y$1, STUDENTDATA!$F:$F, "OBC", STUDENTDATA!$G:$G, "अनुपस्थित")</f>
        <v>0</v>
      </c>
      <c r="J34" s="79"/>
      <c r="K34" s="79">
        <f>COUNTIFS(STUDENTDATA!$A:$A, LIFAFA2!$Y$1, STUDENTDATA!$F:$F, "OBC", STUDENTDATA!$G:$G, "अनुत्तीर्ण")</f>
        <v>0</v>
      </c>
      <c r="L34" s="79"/>
      <c r="M34" s="79">
        <f>COUNTIFS(STUDENTDATA!$A:$A, LIFAFA2!$Y$1, STUDENTDATA!$F:$F, "SBC", STUDENTDATA!$G:$G, "अनुपस्थित")</f>
        <v>0</v>
      </c>
      <c r="N34" s="79"/>
      <c r="O34" s="79">
        <f>COUNTIFS(STUDENTDATA!$A:$A, LIFAFA2!$Y$1, STUDENTDATA!$F:$F, "SBC", STUDENTDATA!$G:$G, "अनुत्तीर्ण")</f>
        <v>0</v>
      </c>
      <c r="P34" s="79"/>
      <c r="Q34" s="79">
        <f>COUNTIFS(STUDENTDATA!$A:$A, LIFAFA2!$Y$1, STUDENTDATA!$F:$F, "GEN", STUDENTDATA!$G:$G, "अनुपस्थित")</f>
        <v>0</v>
      </c>
      <c r="R34" s="79"/>
      <c r="S34" s="79">
        <f>COUNTIFS(STUDENTDATA!$A:$A, LIFAFA2!$Y$1, STUDENTDATA!$F:$F, "GEN", STUDENTDATA!$G:$G, "अनुत्तीर्ण")</f>
        <v>0</v>
      </c>
      <c r="T34" s="79"/>
      <c r="U34" s="79">
        <f>COUNTIFS(STUDENTDATA!$A:$A, LIFAFA2!$Y$1, STUDENTDATA!$F:$F, "MIN", STUDENTDATA!$G:$G, "अनुपस्थित")</f>
        <v>0</v>
      </c>
      <c r="V34" s="79"/>
      <c r="W34" s="79">
        <f>COUNTIFS(STUDENTDATA!$A:$A, LIFAFA2!$Y$1, STUDENTDATA!$F:$F, "MIN", STUDENTDATA!$G:$G, "अनुत्तीर्ण")</f>
        <v>0</v>
      </c>
      <c r="X34" s="79"/>
    </row>
  </sheetData>
  <sheetProtection algorithmName="SHA-512" hashValue="37NLZKIcz6zAyHNOJH54gmFZMVYGp9uOSJyZVaWghR9/Ahr4mbLO+n+p82GFQ9G2lfjq9eopYyToRO7xlxDKhg==" saltValue="1ZdxMVBNx26OgVb2sOHqpw==" spinCount="100000" sheet="1" objects="1" scenarios="1"/>
  <mergeCells count="72">
    <mergeCell ref="U33:V33"/>
    <mergeCell ref="W33:X33"/>
    <mergeCell ref="A34:B34"/>
    <mergeCell ref="C34:D34"/>
    <mergeCell ref="E34:F34"/>
    <mergeCell ref="G34:H34"/>
    <mergeCell ref="I34:J34"/>
    <mergeCell ref="K34:L34"/>
    <mergeCell ref="M34:N34"/>
    <mergeCell ref="O34:P34"/>
    <mergeCell ref="Q34:R34"/>
    <mergeCell ref="S34:T34"/>
    <mergeCell ref="U34:V34"/>
    <mergeCell ref="W34:X34"/>
    <mergeCell ref="K33:L33"/>
    <mergeCell ref="M33:N33"/>
    <mergeCell ref="O33:P33"/>
    <mergeCell ref="Q33:R33"/>
    <mergeCell ref="S33:T33"/>
    <mergeCell ref="A33:B33"/>
    <mergeCell ref="C33:D33"/>
    <mergeCell ref="E33:F33"/>
    <mergeCell ref="G33:H33"/>
    <mergeCell ref="I33:J33"/>
    <mergeCell ref="A2:W2"/>
    <mergeCell ref="A31:X31"/>
    <mergeCell ref="A32:D32"/>
    <mergeCell ref="E32:H32"/>
    <mergeCell ref="I32:L32"/>
    <mergeCell ref="M32:P32"/>
    <mergeCell ref="Q32:T32"/>
    <mergeCell ref="U32:X32"/>
    <mergeCell ref="A3:A5"/>
    <mergeCell ref="B3:B5"/>
    <mergeCell ref="C3:T3"/>
    <mergeCell ref="U3:W4"/>
    <mergeCell ref="C4:E4"/>
    <mergeCell ref="F4:H4"/>
    <mergeCell ref="I4:K4"/>
    <mergeCell ref="L4:N4"/>
    <mergeCell ref="O4:Q4"/>
    <mergeCell ref="R4:T4"/>
    <mergeCell ref="A11:X11"/>
    <mergeCell ref="A12:D12"/>
    <mergeCell ref="E12:H12"/>
    <mergeCell ref="I12:L12"/>
    <mergeCell ref="M12:P12"/>
    <mergeCell ref="Q12:T12"/>
    <mergeCell ref="U12:X12"/>
    <mergeCell ref="A19:X19"/>
    <mergeCell ref="A20:D20"/>
    <mergeCell ref="E20:H20"/>
    <mergeCell ref="I20:L20"/>
    <mergeCell ref="M20:P20"/>
    <mergeCell ref="Q20:T20"/>
    <mergeCell ref="U20:X20"/>
    <mergeCell ref="A1:W1"/>
    <mergeCell ref="Y29:AD29"/>
    <mergeCell ref="U29:X29"/>
    <mergeCell ref="Q29:T29"/>
    <mergeCell ref="M29:P29"/>
    <mergeCell ref="I29:L29"/>
    <mergeCell ref="E29:H29"/>
    <mergeCell ref="A29:D29"/>
    <mergeCell ref="Y26:AD26"/>
    <mergeCell ref="A25:AD25"/>
    <mergeCell ref="A26:D26"/>
    <mergeCell ref="E26:H26"/>
    <mergeCell ref="I26:L26"/>
    <mergeCell ref="M26:P26"/>
    <mergeCell ref="Q26:T26"/>
    <mergeCell ref="U26:X26"/>
  </mergeCells>
  <conditionalFormatting sqref="A1:XFD1048576">
    <cfRule type="cellIs" dxfId="9" priority="1" operator="equal">
      <formula>0</formula>
    </cfRule>
  </conditionalFormatting>
  <dataValidations count="1">
    <dataValidation type="list" allowBlank="1" showInputMessage="1" showErrorMessage="1" sqref="Y1" xr:uid="{A4E82676-EEEE-4DB1-88F9-DFD5CEE40301}">
      <formula1>"9,10,11,12"</formula1>
    </dataValidation>
  </dataValidations>
  <pageMargins left="0.25" right="0.25" top="0.54" bottom="0.75" header="0.3" footer="0.3"/>
  <pageSetup paperSize="9" scale="53" fitToHeight="0" orientation="landscape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BF9BE-138C-4A9B-A76C-CF3A7B54EFEA}">
  <sheetPr codeName="Sheet5">
    <pageSetUpPr fitToPage="1"/>
  </sheetPr>
  <dimension ref="A2:AK40"/>
  <sheetViews>
    <sheetView showGridLines="0" showRowColHeaders="0" topLeftCell="A13" zoomScale="50" zoomScaleNormal="50" zoomScaleSheetLayoutView="25" workbookViewId="0">
      <selection activeCell="B14" sqref="B14:AK14"/>
    </sheetView>
  </sheetViews>
  <sheetFormatPr defaultRowHeight="15" x14ac:dyDescent="0.25"/>
  <cols>
    <col min="1" max="1" width="5.85546875" style="15" customWidth="1"/>
    <col min="2" max="2" width="11.5703125" style="15" bestFit="1" customWidth="1"/>
    <col min="3" max="24" width="9.42578125" style="15" bestFit="1" customWidth="1"/>
    <col min="25" max="16384" width="9.140625" style="15"/>
  </cols>
  <sheetData>
    <row r="2" spans="1:37" ht="29.25" x14ac:dyDescent="0.25">
      <c r="B2" s="98" t="str">
        <f>LIFAFA2!A1</f>
        <v xml:space="preserve">राजकीय उच्च माध्यमिक विद्यालय ,मोराझड़ी (214242) श्रीनगर </v>
      </c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98"/>
      <c r="V2" s="98"/>
      <c r="W2" s="98"/>
      <c r="X2" s="98"/>
    </row>
    <row r="3" spans="1:37" ht="23.25" x14ac:dyDescent="0.25">
      <c r="B3" s="99" t="s">
        <v>1436</v>
      </c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</row>
    <row r="4" spans="1:37" ht="23.25" x14ac:dyDescent="0.25">
      <c r="B4" s="100" t="s">
        <v>0</v>
      </c>
      <c r="C4" s="88" t="s">
        <v>1384</v>
      </c>
      <c r="D4" s="101" t="s">
        <v>2</v>
      </c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91" t="s">
        <v>3</v>
      </c>
      <c r="W4" s="92"/>
      <c r="X4" s="93"/>
    </row>
    <row r="5" spans="1:37" ht="24.75" customHeight="1" x14ac:dyDescent="0.25">
      <c r="B5" s="100"/>
      <c r="C5" s="89"/>
      <c r="D5" s="82" t="s">
        <v>4</v>
      </c>
      <c r="E5" s="82"/>
      <c r="F5" s="82"/>
      <c r="G5" s="82" t="s">
        <v>5</v>
      </c>
      <c r="H5" s="82"/>
      <c r="I5" s="82"/>
      <c r="J5" s="82" t="s">
        <v>6</v>
      </c>
      <c r="K5" s="82"/>
      <c r="L5" s="82"/>
      <c r="M5" s="82" t="s">
        <v>7</v>
      </c>
      <c r="N5" s="82"/>
      <c r="O5" s="82"/>
      <c r="P5" s="82" t="s">
        <v>8</v>
      </c>
      <c r="Q5" s="82"/>
      <c r="R5" s="82"/>
      <c r="S5" s="82" t="s">
        <v>9</v>
      </c>
      <c r="T5" s="82"/>
      <c r="U5" s="82"/>
      <c r="V5" s="94"/>
      <c r="W5" s="95"/>
      <c r="X5" s="96"/>
    </row>
    <row r="6" spans="1:37" s="17" customFormat="1" ht="32.25" customHeight="1" x14ac:dyDescent="0.25">
      <c r="B6" s="100"/>
      <c r="C6" s="90"/>
      <c r="D6" s="18" t="s">
        <v>10</v>
      </c>
      <c r="E6" s="18" t="s">
        <v>11</v>
      </c>
      <c r="F6" s="18" t="s">
        <v>12</v>
      </c>
      <c r="G6" s="18" t="s">
        <v>10</v>
      </c>
      <c r="H6" s="18" t="s">
        <v>11</v>
      </c>
      <c r="I6" s="18" t="s">
        <v>12</v>
      </c>
      <c r="J6" s="18" t="s">
        <v>10</v>
      </c>
      <c r="K6" s="18" t="s">
        <v>11</v>
      </c>
      <c r="L6" s="18" t="s">
        <v>12</v>
      </c>
      <c r="M6" s="18" t="s">
        <v>10</v>
      </c>
      <c r="N6" s="18" t="s">
        <v>11</v>
      </c>
      <c r="O6" s="18" t="s">
        <v>12</v>
      </c>
      <c r="P6" s="18" t="s">
        <v>10</v>
      </c>
      <c r="Q6" s="18" t="s">
        <v>11</v>
      </c>
      <c r="R6" s="18" t="s">
        <v>12</v>
      </c>
      <c r="S6" s="18" t="s">
        <v>10</v>
      </c>
      <c r="T6" s="18" t="s">
        <v>11</v>
      </c>
      <c r="U6" s="18" t="s">
        <v>12</v>
      </c>
      <c r="V6" s="18" t="s">
        <v>10</v>
      </c>
      <c r="W6" s="18" t="s">
        <v>11</v>
      </c>
      <c r="X6" s="18" t="s">
        <v>12</v>
      </c>
    </row>
    <row r="7" spans="1:37" s="19" customFormat="1" ht="38.25" customHeight="1" x14ac:dyDescent="0.25">
      <c r="B7" s="20"/>
      <c r="C7" s="21">
        <v>1</v>
      </c>
      <c r="D7" s="22" cm="1">
        <f t="array" aca="1" ref="D7" ca="1">SUMPRODUCT(
(STUDENTDATA!$A$2:$A$1000=1)*
(STUDENTDATA!$F$2:$F$1000="SC")*
(STUDENTDATA!$E$2:$E$1000="M")*
ISNUMBER(MATCH(STUDENTDATA!$G$2:$G$1000,{"A","B","C","D","E","I","II","III","अनुत्तीर्ण"},0))
)</f>
        <v>0</v>
      </c>
      <c r="E7" s="22" cm="1">
        <f t="array" aca="1" ref="E7" ca="1">SUMPRODUCT(
(STUDENTDATA!$A$2:$A$1000=1)*
(STUDENTDATA!$F$2:$F$1000="SC")*
(STUDENTDATA!$E$2:$E$1000="F")*
ISNUMBER(MATCH(STUDENTDATA!$G$2:$G$1000,{"A","B","C","D","E","I","II","III","अनुत्तीर्ण"},0))
)</f>
        <v>0</v>
      </c>
      <c r="F7" s="22">
        <f ca="1">D7+E7</f>
        <v>0</v>
      </c>
      <c r="G7" s="22" cm="1">
        <f t="array" aca="1" ref="G7" ca="1">SUMPRODUCT(
(STUDENTDATA!$A$2:$A$1000=1)*
(STUDENTDATA!$F$2:$F$1000="ST")*
(STUDENTDATA!$E$2:$E$1000="M")*
ISNUMBER(MATCH(STUDENTDATA!$G$2:$G$1000,{"A","B","C","D","E","I","II","III","अनुत्तीर्ण"},0))
)</f>
        <v>0</v>
      </c>
      <c r="H7" s="22" cm="1">
        <f t="array" aca="1" ref="H7" ca="1">SUMPRODUCT(
(STUDENTDATA!$A$2:$A$1000=1)*
(STUDENTDATA!$F$2:$F$1000="ST")*
(STUDENTDATA!$E$2:$E$1000="F")*
ISNUMBER(MATCH(STUDENTDATA!$G$2:$G$1000,{"A","B","C","D","E","I","II","III","अनुत्तीर्ण"},0))
)</f>
        <v>0</v>
      </c>
      <c r="I7" s="22">
        <f t="shared" ref="I7" ca="1" si="0">G7+H7</f>
        <v>0</v>
      </c>
      <c r="J7" s="22" cm="1">
        <f t="array" aca="1" ref="J7" ca="1">SUMPRODUCT(
(STUDENTDATA!$A$2:$A$1000=1)*
(STUDENTDATA!$F$2:$F$1000="OBC")*
(STUDENTDATA!$E$2:$E$1000="M")*
ISNUMBER(MATCH(STUDENTDATA!$G$2:$G$1000,{"A","B","C","D","E","I","II","III","अनुत्तीर्ण"},0))
)</f>
        <v>0</v>
      </c>
      <c r="K7" s="22" cm="1">
        <f t="array" aca="1" ref="K7" ca="1">SUMPRODUCT(
(STUDENTDATA!$A$2:$A$1000=1)*
(STUDENTDATA!$F$2:$F$1000="OBC")*
(STUDENTDATA!$E$2:$E$1000="F")*
ISNUMBER(MATCH(STUDENTDATA!$G$2:$G$1000,{"A","B","C","D","E","I","II","III","अनुत्तीर्ण"},0))
)</f>
        <v>0</v>
      </c>
      <c r="L7" s="22">
        <f t="shared" ref="L7" ca="1" si="1">J7+K7</f>
        <v>0</v>
      </c>
      <c r="M7" s="22" cm="1">
        <f t="array" aca="1" ref="M7" ca="1">SUMPRODUCT(
(STUDENTDATA!$A$2:$A$1000=1)*
(STUDENTDATA!$F$2:$F$1000="SBC")*
(STUDENTDATA!$E$2:$E$1000="M")*
ISNUMBER(MATCH(STUDENTDATA!$G$2:$G$1000,{"A","B","C","D","E","I","II","III","अनुत्तीर्ण"},0))
)</f>
        <v>0</v>
      </c>
      <c r="N7" s="22" cm="1">
        <f t="array" aca="1" ref="N7" ca="1">SUMPRODUCT(
(STUDENTDATA!$A$2:$A$1000=1)*
(STUDENTDATA!$F$2:$F$1000="SBC")*
(STUDENTDATA!$E$2:$E$1000="F")*
ISNUMBER(MATCH(STUDENTDATA!$G$2:$G$1000,{"A","B","C","D","E","I","II","III","अनुत्तीर्ण"},0))
)</f>
        <v>0</v>
      </c>
      <c r="O7" s="22">
        <f t="shared" ref="O7" ca="1" si="2">M7+N7</f>
        <v>0</v>
      </c>
      <c r="P7" s="22" cm="1">
        <f t="array" aca="1" ref="P7" ca="1">SUMPRODUCT(
(STUDENTDATA!$A$2:$A$1000=1)*
(STUDENTDATA!$F$2:$F$1000="GEN")*
(STUDENTDATA!$E$2:$E$1000="M")*
ISNUMBER(MATCH(STUDENTDATA!$G$2:$G$1000,{"A","B","C","D","E","I","II","III","अनुत्तीर्ण"},0))
)</f>
        <v>0</v>
      </c>
      <c r="Q7" s="22" cm="1">
        <f t="array" aca="1" ref="Q7" ca="1">SUMPRODUCT(
(STUDENTDATA!$A$2:$A$1000=1)*
(STUDENTDATA!$F$2:$F$1000="GEN")*
(STUDENTDATA!$E$2:$E$1000="F")*
ISNUMBER(MATCH(STUDENTDATA!$G$2:$G$1000,{"A","B","C","D","E","I","II","III","अनुत्तीर्ण"},0))
)</f>
        <v>0</v>
      </c>
      <c r="R7" s="22">
        <f t="shared" ref="R7" ca="1" si="3">P7+Q7</f>
        <v>0</v>
      </c>
      <c r="S7" s="22" cm="1">
        <f t="array" aca="1" ref="S7" ca="1">SUMPRODUCT(
(STUDENTDATA!$A$2:$A$1000=1)*
(STUDENTDATA!$F$2:$F$1000="MIN")*
(STUDENTDATA!$E$2:$E$1000="M")*
ISNUMBER(MATCH(STUDENTDATA!$G$2:$G$1000,{"A","B","C","D","E","I","II","III","अनुत्तीर्ण"},0))
)</f>
        <v>0</v>
      </c>
      <c r="T7" s="22" cm="1">
        <f t="array" aca="1" ref="T7" ca="1">SUMPRODUCT(
(STUDENTDATA!$A$2:$A$1000=1)*
(STUDENTDATA!$F$2:$F$1000="MIN")*
(STUDENTDATA!$E$2:$E$1000="F")*
ISNUMBER(MATCH(STUDENTDATA!$G$2:$G$1000,{"A","B","C","D","E","I","II","III","अनुत्तीर्ण"},0))
)</f>
        <v>0</v>
      </c>
      <c r="U7" s="22">
        <f t="shared" ref="U7" ca="1" si="4">S7+T7</f>
        <v>0</v>
      </c>
      <c r="V7" s="22">
        <f ca="1">D7+G7+J7+M7+P7+S7</f>
        <v>0</v>
      </c>
      <c r="W7" s="22">
        <f ca="1">E7+H7+K7+N7+Q7+T7</f>
        <v>0</v>
      </c>
      <c r="X7" s="22">
        <f ca="1">V7+W7</f>
        <v>0</v>
      </c>
    </row>
    <row r="8" spans="1:37" s="19" customFormat="1" ht="38.25" customHeight="1" x14ac:dyDescent="0.25">
      <c r="B8" s="20"/>
      <c r="C8" s="23">
        <v>2</v>
      </c>
      <c r="D8" s="22" cm="1">
        <f t="array" aca="1" ref="D8" ca="1">SUMPRODUCT(
(STUDENTDATA!$A$2:$A$1000=2)*
(STUDENTDATA!$F$2:$F$1000="SC")*
(STUDENTDATA!$E$2:$E$1000="M")*
ISNUMBER(MATCH(STUDENTDATA!$G$2:$G$1000,{"A","B","C","D","E","I","II","III","अनुत्तीर्ण"},0))
)</f>
        <v>0</v>
      </c>
      <c r="E8" s="22" cm="1">
        <f t="array" aca="1" ref="E8" ca="1">SUMPRODUCT(
(STUDENTDATA!$A$2:$A$1000=2)*
(STUDENTDATA!$F$2:$F$1000="SC")*
(STUDENTDATA!$E$2:$E$1000="F")*
ISNUMBER(MATCH(STUDENTDATA!$G$2:$G$1000,{"A","B","C","D","E","I","II","III","अनुत्तीर्ण"},0))
)</f>
        <v>0</v>
      </c>
      <c r="F8" s="22">
        <f t="shared" ref="F8:F11" ca="1" si="5">D8+E8</f>
        <v>0</v>
      </c>
      <c r="G8" s="22" cm="1">
        <f t="array" aca="1" ref="G8" ca="1">SUMPRODUCT(
(STUDENTDATA!$A$2:$A$1000=2)*
(STUDENTDATA!$F$2:$F$1000="ST")*
(STUDENTDATA!$E$2:$E$1000="M")*
ISNUMBER(MATCH(STUDENTDATA!$G$2:$G$1000,{"A","B","C","D","E","I","II","III","अनुत्तीर्ण"},0))
)</f>
        <v>0</v>
      </c>
      <c r="H8" s="22" cm="1">
        <f t="array" aca="1" ref="H8" ca="1">SUMPRODUCT(
(STUDENTDATA!$A$2:$A$1000=2)*
(STUDENTDATA!$F$2:$F$1000="ST")*
(STUDENTDATA!$E$2:$E$1000="F")*
ISNUMBER(MATCH(STUDENTDATA!$G$2:$G$1000,{"A","B","C","D","E","I","II","III","अनुत्तीर्ण"},0))
)</f>
        <v>0</v>
      </c>
      <c r="I8" s="22">
        <f t="shared" ref="I8:I11" ca="1" si="6">G8+H8</f>
        <v>0</v>
      </c>
      <c r="J8" s="22" cm="1">
        <f t="array" aca="1" ref="J8" ca="1">SUMPRODUCT(
(STUDENTDATA!$A$2:$A$1000=2)*
(STUDENTDATA!$F$2:$F$1000="OBC")*
(STUDENTDATA!$E$2:$E$1000="M")*
ISNUMBER(MATCH(STUDENTDATA!$G$2:$G$1000,{"A","B","C","D","E","I","II","III","अनुत्तीर्ण"},0))
)</f>
        <v>0</v>
      </c>
      <c r="K8" s="22" cm="1">
        <f t="array" aca="1" ref="K8" ca="1">SUMPRODUCT(
(STUDENTDATA!$A$2:$A$1000=2)*
(STUDENTDATA!$F$2:$F$1000="OBC")*
(STUDENTDATA!$E$2:$E$1000="F")*
ISNUMBER(MATCH(STUDENTDATA!$G$2:$G$1000,{"A","B","C","D","E","I","II","III","अनुत्तीर्ण"},0))
)</f>
        <v>0</v>
      </c>
      <c r="L8" s="22">
        <f t="shared" ref="L8:L11" ca="1" si="7">J8+K8</f>
        <v>0</v>
      </c>
      <c r="M8" s="22" cm="1">
        <f t="array" aca="1" ref="M8" ca="1">SUMPRODUCT(
(STUDENTDATA!$A$2:$A$1000=2)*
(STUDENTDATA!$F$2:$F$1000="SBC")*
(STUDENTDATA!$E$2:$E$1000="M")*
ISNUMBER(MATCH(STUDENTDATA!$G$2:$G$1000,{"A","B","C","D","E","I","II","III","अनुत्तीर्ण"},0))
)</f>
        <v>0</v>
      </c>
      <c r="N8" s="22" cm="1">
        <f t="array" aca="1" ref="N8" ca="1">SUMPRODUCT(
(STUDENTDATA!$A$2:$A$1000=2)*
(STUDENTDATA!$F$2:$F$1000="SBC")*
(STUDENTDATA!$E$2:$E$1000="F")*
ISNUMBER(MATCH(STUDENTDATA!$G$2:$G$1000,{"A","B","C","D","E","I","II","III","अनुत्तीर्ण"},0))
)</f>
        <v>0</v>
      </c>
      <c r="O8" s="22">
        <f t="shared" ref="O8:O11" ca="1" si="8">M8+N8</f>
        <v>0</v>
      </c>
      <c r="P8" s="22" cm="1">
        <f t="array" aca="1" ref="P8" ca="1">SUMPRODUCT(
(STUDENTDATA!$A$2:$A$1000=2)*
(STUDENTDATA!$F$2:$F$1000="GEN")*
(STUDENTDATA!$E$2:$E$1000="M")*
ISNUMBER(MATCH(STUDENTDATA!$G$2:$G$1000,{"A","B","C","D","E","I","II","III","अनुत्तीर्ण"},0))
)</f>
        <v>0</v>
      </c>
      <c r="Q8" s="22" cm="1">
        <f t="array" aca="1" ref="Q8" ca="1">SUMPRODUCT(
(STUDENTDATA!$A$2:$A$1000=2)*
(STUDENTDATA!$F$2:$F$1000="GEN")*
(STUDENTDATA!$E$2:$E$1000="F")*
ISNUMBER(MATCH(STUDENTDATA!$G$2:$G$1000,{"A","B","C","D","E","I","II","III","अनुत्तीर्ण"},0))
)</f>
        <v>0</v>
      </c>
      <c r="R8" s="22">
        <f t="shared" ref="R8:R11" ca="1" si="9">P8+Q8</f>
        <v>0</v>
      </c>
      <c r="S8" s="22" cm="1">
        <f t="array" aca="1" ref="S8" ca="1">SUMPRODUCT(
(STUDENTDATA!$A$2:$A$1000=2)*
(STUDENTDATA!$F$2:$F$1000="MIN")*
(STUDENTDATA!$E$2:$E$1000="M")*
ISNUMBER(MATCH(STUDENTDATA!$G$2:$G$1000,{"A","B","C","D","E","I","II","III","अनुत्तीर्ण"},0))
)</f>
        <v>0</v>
      </c>
      <c r="T8" s="22" cm="1">
        <f t="array" aca="1" ref="T8" ca="1">SUMPRODUCT(
(STUDENTDATA!$A$2:$A$1000=2)*
(STUDENTDATA!$F$2:$F$1000="MIN")*
(STUDENTDATA!$E$2:$E$1000="F")*
ISNUMBER(MATCH(STUDENTDATA!$G$2:$G$1000,{"A","B","C","D","E","I","II","III","अनुत्तीर्ण"},0))
)</f>
        <v>0</v>
      </c>
      <c r="U8" s="22">
        <f t="shared" ref="U8:U11" ca="1" si="10">S8+T8</f>
        <v>0</v>
      </c>
      <c r="V8" s="22">
        <f t="shared" ref="V8:V11" ca="1" si="11">D8+G8+J8+M8+P8+S8</f>
        <v>0</v>
      </c>
      <c r="W8" s="22">
        <f t="shared" ref="W8:W11" ca="1" si="12">E8+H8+K8+N8+Q8+T8</f>
        <v>0</v>
      </c>
      <c r="X8" s="22">
        <f t="shared" ref="X8:X11" ca="1" si="13">V8+W8</f>
        <v>0</v>
      </c>
    </row>
    <row r="9" spans="1:37" s="19" customFormat="1" ht="38.25" customHeight="1" x14ac:dyDescent="0.25">
      <c r="B9" s="20"/>
      <c r="C9" s="21">
        <v>3</v>
      </c>
      <c r="D9" s="22" cm="1">
        <f t="array" aca="1" ref="D9" ca="1">SUMPRODUCT(
(STUDENTDATA!$A$2:$A$1000=3)*
(STUDENTDATA!$F$2:$F$1000="SC")*
(STUDENTDATA!$E$2:$E$1000="M")*
ISNUMBER(MATCH(STUDENTDATA!$G$2:$G$1000,{"A","B","C","D","E","I","II","III","अनुत्तीर्ण"},0))
)</f>
        <v>0</v>
      </c>
      <c r="E9" s="22" cm="1">
        <f t="array" aca="1" ref="E9" ca="1">SUMPRODUCT(
(STUDENTDATA!$A$2:$A$1000=3)*
(STUDENTDATA!$F$2:$F$1000="SC")*
(STUDENTDATA!$E$2:$E$1000="F")*
ISNUMBER(MATCH(STUDENTDATA!$G$2:$G$1000,{"A","B","C","D","E","I","II","III","अनुत्तीर्ण"},0))
)</f>
        <v>0</v>
      </c>
      <c r="F9" s="22">
        <f t="shared" ca="1" si="5"/>
        <v>0</v>
      </c>
      <c r="G9" s="22" cm="1">
        <f t="array" aca="1" ref="G9" ca="1">SUMPRODUCT(
(STUDENTDATA!$A$2:$A$1000=3)*
(STUDENTDATA!$F$2:$F$1000="ST")*
(STUDENTDATA!$E$2:$E$1000="M")*
ISNUMBER(MATCH(STUDENTDATA!$G$2:$G$1000,{"A","B","C","D","E","I","II","III","अनुत्तीर्ण"},0))
)</f>
        <v>0</v>
      </c>
      <c r="H9" s="22" cm="1">
        <f t="array" aca="1" ref="H9" ca="1">SUMPRODUCT(
(STUDENTDATA!$A$2:$A$1000=3)*
(STUDENTDATA!$F$2:$F$1000="ST")*
(STUDENTDATA!$E$2:$E$1000="F")*
ISNUMBER(MATCH(STUDENTDATA!$G$2:$G$1000,{"A","B","C","D","E","I","II","III","अनुत्तीर्ण"},0))
)</f>
        <v>0</v>
      </c>
      <c r="I9" s="22">
        <f t="shared" ca="1" si="6"/>
        <v>0</v>
      </c>
      <c r="J9" s="22" cm="1">
        <f t="array" aca="1" ref="J9" ca="1">SUMPRODUCT(
(STUDENTDATA!$A$2:$A$1000=3)*
(STUDENTDATA!$F$2:$F$1000="OBC")*
(STUDENTDATA!$E$2:$E$1000="M")*
ISNUMBER(MATCH(STUDENTDATA!$G$2:$G$1000,{"A","B","C","D","E","I","II","III","अनुत्तीर्ण"},0))
)</f>
        <v>0</v>
      </c>
      <c r="K9" s="22" cm="1">
        <f t="array" aca="1" ref="K9" ca="1">SUMPRODUCT(
(STUDENTDATA!$A$2:$A$1000=3)*
(STUDENTDATA!$F$2:$F$1000="OBC")*
(STUDENTDATA!$E$2:$E$1000="F")*
ISNUMBER(MATCH(STUDENTDATA!$G$2:$G$1000,{"A","B","C","D","E","I","II","III","अनुत्तीर्ण"},0))
)</f>
        <v>0</v>
      </c>
      <c r="L9" s="22">
        <f t="shared" ca="1" si="7"/>
        <v>0</v>
      </c>
      <c r="M9" s="22" cm="1">
        <f t="array" aca="1" ref="M9" ca="1">SUMPRODUCT(
(STUDENTDATA!$A$2:$A$1000=3)*
(STUDENTDATA!$F$2:$F$1000="SBC")*
(STUDENTDATA!$E$2:$E$1000="M")*
ISNUMBER(MATCH(STUDENTDATA!$G$2:$G$1000,{"A","B","C","D","E","I","II","III","अनुत्तीर्ण"},0))
)</f>
        <v>0</v>
      </c>
      <c r="N9" s="22" cm="1">
        <f t="array" aca="1" ref="N9" ca="1">SUMPRODUCT(
(STUDENTDATA!$A$2:$A$1000=3)*
(STUDENTDATA!$F$2:$F$1000="SBC")*
(STUDENTDATA!$E$2:$E$1000="F")*
ISNUMBER(MATCH(STUDENTDATA!$G$2:$G$1000,{"A","B","C","D","E","I","II","III","अनुत्तीर्ण"},0))
)</f>
        <v>0</v>
      </c>
      <c r="O9" s="22">
        <f t="shared" ca="1" si="8"/>
        <v>0</v>
      </c>
      <c r="P9" s="22" cm="1">
        <f t="array" aca="1" ref="P9" ca="1">SUMPRODUCT(
(STUDENTDATA!$A$2:$A$1000=3)*
(STUDENTDATA!$F$2:$F$1000="GEN")*
(STUDENTDATA!$E$2:$E$1000="M")*
ISNUMBER(MATCH(STUDENTDATA!$G$2:$G$1000,{"A","B","C","D","E","I","II","III","अनुत्तीर्ण"},0))
)</f>
        <v>0</v>
      </c>
      <c r="Q9" s="22" cm="1">
        <f t="array" aca="1" ref="Q9" ca="1">SUMPRODUCT(
(STUDENTDATA!$A$2:$A$1000=3)*
(STUDENTDATA!$F$2:$F$1000="GEN")*
(STUDENTDATA!$E$2:$E$1000="F")*
ISNUMBER(MATCH(STUDENTDATA!$G$2:$G$1000,{"A","B","C","D","E","I","II","III","अनुत्तीर्ण"},0))
)</f>
        <v>0</v>
      </c>
      <c r="R9" s="22">
        <f t="shared" ca="1" si="9"/>
        <v>0</v>
      </c>
      <c r="S9" s="22" cm="1">
        <f t="array" aca="1" ref="S9" ca="1">SUMPRODUCT(
(STUDENTDATA!$A$2:$A$1000=3)*
(STUDENTDATA!$F$2:$F$1000="MIN")*
(STUDENTDATA!$E$2:$E$1000="M")*
ISNUMBER(MATCH(STUDENTDATA!$G$2:$G$1000,{"A","B","C","D","E","I","II","III","अनुत्तीर्ण"},0))
)</f>
        <v>0</v>
      </c>
      <c r="T9" s="22" cm="1">
        <f t="array" aca="1" ref="T9" ca="1">SUMPRODUCT(
(STUDENTDATA!$A$2:$A$1000=3)*
(STUDENTDATA!$F$2:$F$1000="MIN")*
(STUDENTDATA!$E$2:$E$1000="F")*
ISNUMBER(MATCH(STUDENTDATA!$G$2:$G$1000,{"A","B","C","D","E","I","II","III","अनुत्तीर्ण"},0))
)</f>
        <v>0</v>
      </c>
      <c r="U9" s="22">
        <f t="shared" ca="1" si="10"/>
        <v>0</v>
      </c>
      <c r="V9" s="22">
        <f t="shared" ca="1" si="11"/>
        <v>0</v>
      </c>
      <c r="W9" s="22">
        <f t="shared" ca="1" si="12"/>
        <v>0</v>
      </c>
      <c r="X9" s="22">
        <f t="shared" ca="1" si="13"/>
        <v>0</v>
      </c>
    </row>
    <row r="10" spans="1:37" s="19" customFormat="1" ht="38.25" customHeight="1" x14ac:dyDescent="0.25">
      <c r="B10" s="20"/>
      <c r="C10" s="23">
        <v>4</v>
      </c>
      <c r="D10" s="22" cm="1">
        <f t="array" aca="1" ref="D10" ca="1">SUMPRODUCT(
(STUDENTDATA!$A$2:$A$1000=4)*
(STUDENTDATA!$F$2:$F$1000="SC")*
(STUDENTDATA!$E$2:$E$1000="M")*
ISNUMBER(MATCH(STUDENTDATA!$G$2:$G$1000,{"A","B","C","D","E","I","II","III","अनुत्तीर्ण"},0))
)</f>
        <v>0</v>
      </c>
      <c r="E10" s="22" cm="1">
        <f t="array" aca="1" ref="E10" ca="1">SUMPRODUCT(
(STUDENTDATA!$A$2:$A$1000=4)*
(STUDENTDATA!$F$2:$F$1000="SC")*
(STUDENTDATA!$E$2:$E$1000="F")*
ISNUMBER(MATCH(STUDENTDATA!$G$2:$G$1000,{"A","B","C","D","E","I","II","III","अनुत्तीर्ण"},0))
)</f>
        <v>0</v>
      </c>
      <c r="F10" s="22">
        <f t="shared" ca="1" si="5"/>
        <v>0</v>
      </c>
      <c r="G10" s="22" cm="1">
        <f t="array" aca="1" ref="G10" ca="1">SUMPRODUCT(
(STUDENTDATA!$A$2:$A$1000=4)*
(STUDENTDATA!$F$2:$F$1000="ST")*
(STUDENTDATA!$E$2:$E$1000="M")*
ISNUMBER(MATCH(STUDENTDATA!$G$2:$G$1000,{"A","B","C","D","E","I","II","III","अनुत्तीर्ण"},0))
)</f>
        <v>0</v>
      </c>
      <c r="H10" s="22" cm="1">
        <f t="array" aca="1" ref="H10" ca="1">SUMPRODUCT(
(STUDENTDATA!$A$2:$A$1000=4)*
(STUDENTDATA!$F$2:$F$1000="ST")*
(STUDENTDATA!$E$2:$E$1000="F")*
ISNUMBER(MATCH(STUDENTDATA!$G$2:$G$1000,{"A","B","C","D","E","I","II","III","अनुत्तीर्ण"},0))
)</f>
        <v>0</v>
      </c>
      <c r="I10" s="22">
        <f t="shared" ca="1" si="6"/>
        <v>0</v>
      </c>
      <c r="J10" s="22" cm="1">
        <f t="array" aca="1" ref="J10" ca="1">SUMPRODUCT(
(STUDENTDATA!$A$2:$A$1000=4)*
(STUDENTDATA!$F$2:$F$1000="OBC")*
(STUDENTDATA!$E$2:$E$1000="M")*
ISNUMBER(MATCH(STUDENTDATA!$G$2:$G$1000,{"A","B","C","D","E","I","II","III","अनुत्तीर्ण"},0))
)</f>
        <v>0</v>
      </c>
      <c r="K10" s="22" cm="1">
        <f t="array" aca="1" ref="K10" ca="1">SUMPRODUCT(
(STUDENTDATA!$A$2:$A$1000=4)*
(STUDENTDATA!$F$2:$F$1000="OBC")*
(STUDENTDATA!$E$2:$E$1000="F")*
ISNUMBER(MATCH(STUDENTDATA!$G$2:$G$1000,{"A","B","C","D","E","I","II","III","अनुत्तीर्ण"},0))
)</f>
        <v>0</v>
      </c>
      <c r="L10" s="22">
        <f t="shared" ca="1" si="7"/>
        <v>0</v>
      </c>
      <c r="M10" s="22" cm="1">
        <f t="array" aca="1" ref="M10" ca="1">SUMPRODUCT(
(STUDENTDATA!$A$2:$A$1000=4)*
(STUDENTDATA!$F$2:$F$1000="SBC")*
(STUDENTDATA!$E$2:$E$1000="M")*
ISNUMBER(MATCH(STUDENTDATA!$G$2:$G$1000,{"A","B","C","D","E","I","II","III","अनुत्तीर्ण"},0))
)</f>
        <v>0</v>
      </c>
      <c r="N10" s="22" cm="1">
        <f t="array" aca="1" ref="N10" ca="1">SUMPRODUCT(
(STUDENTDATA!$A$2:$A$1000=4)*
(STUDENTDATA!$F$2:$F$1000="SBC")*
(STUDENTDATA!$E$2:$E$1000="F")*
ISNUMBER(MATCH(STUDENTDATA!$G$2:$G$1000,{"A","B","C","D","E","I","II","III","अनुत्तीर्ण"},0))
)</f>
        <v>0</v>
      </c>
      <c r="O10" s="22">
        <f t="shared" ca="1" si="8"/>
        <v>0</v>
      </c>
      <c r="P10" s="22" cm="1">
        <f t="array" aca="1" ref="P10" ca="1">SUMPRODUCT(
(STUDENTDATA!$A$2:$A$1000=4)*
(STUDENTDATA!$F$2:$F$1000="GEN")*
(STUDENTDATA!$E$2:$E$1000="M")*
ISNUMBER(MATCH(STUDENTDATA!$G$2:$G$1000,{"A","B","C","D","E","I","II","III","अनुत्तीर्ण"},0))
)</f>
        <v>0</v>
      </c>
      <c r="Q10" s="22" cm="1">
        <f t="array" aca="1" ref="Q10" ca="1">SUMPRODUCT(
(STUDENTDATA!$A$2:$A$1000=4)*
(STUDENTDATA!$F$2:$F$1000="GEN")*
(STUDENTDATA!$E$2:$E$1000="F")*
ISNUMBER(MATCH(STUDENTDATA!$G$2:$G$1000,{"A","B","C","D","E","I","II","III","अनुत्तीर्ण"},0))
)</f>
        <v>0</v>
      </c>
      <c r="R10" s="22">
        <f t="shared" ca="1" si="9"/>
        <v>0</v>
      </c>
      <c r="S10" s="22" cm="1">
        <f t="array" aca="1" ref="S10" ca="1">SUMPRODUCT(
(STUDENTDATA!$A$2:$A$1000=4)*
(STUDENTDATA!$F$2:$F$1000="MIN")*
(STUDENTDATA!$E$2:$E$1000="M")*
ISNUMBER(MATCH(STUDENTDATA!$G$2:$G$1000,{"A","B","C","D","E","I","II","III","अनुत्तीर्ण"},0))
)</f>
        <v>0</v>
      </c>
      <c r="T10" s="22" cm="1">
        <f t="array" aca="1" ref="T10" ca="1">SUMPRODUCT(
(STUDENTDATA!$A$2:$A$1000=4)*
(STUDENTDATA!$F$2:$F$1000="MIN")*
(STUDENTDATA!$E$2:$E$1000="F")*
ISNUMBER(MATCH(STUDENTDATA!$G$2:$G$1000,{"A","B","C","D","E","I","II","III","अनुत्तीर्ण"},0))
)</f>
        <v>0</v>
      </c>
      <c r="U10" s="22">
        <f t="shared" ca="1" si="10"/>
        <v>0</v>
      </c>
      <c r="V10" s="22">
        <f t="shared" ca="1" si="11"/>
        <v>0</v>
      </c>
      <c r="W10" s="22">
        <f t="shared" ca="1" si="12"/>
        <v>0</v>
      </c>
      <c r="X10" s="22">
        <f t="shared" ca="1" si="13"/>
        <v>0</v>
      </c>
    </row>
    <row r="11" spans="1:37" s="19" customFormat="1" ht="38.25" customHeight="1" x14ac:dyDescent="0.25">
      <c r="B11" s="20"/>
      <c r="C11" s="21">
        <v>5</v>
      </c>
      <c r="D11" s="22" cm="1">
        <f t="array" aca="1" ref="D11" ca="1">SUMPRODUCT(
(STUDENTDATA!$A$2:$A$1000=5)*
(STUDENTDATA!$F$2:$F$1000="SC")*
(STUDENTDATA!$E$2:$E$1000="M")*
ISNUMBER(MATCH(STUDENTDATA!$G$2:$G$1000,{"A","B","C","D","E","I","II","III","अनुत्तीर्ण"},0))
)</f>
        <v>0</v>
      </c>
      <c r="E11" s="22" cm="1">
        <f t="array" aca="1" ref="E11" ca="1">SUMPRODUCT(
(STUDENTDATA!$A$2:$A$1000=5)*
(STUDENTDATA!$F$2:$F$1000="SC")*
(STUDENTDATA!$E$2:$E$1000="F")*
ISNUMBER(MATCH(STUDENTDATA!$G$2:$G$1000,{"A","B","C","D","E","I","II","III","अनुत्तीर्ण"},0))
)</f>
        <v>0</v>
      </c>
      <c r="F11" s="22">
        <f t="shared" ca="1" si="5"/>
        <v>0</v>
      </c>
      <c r="G11" s="22" cm="1">
        <f t="array" aca="1" ref="G11" ca="1">SUMPRODUCT(
(STUDENTDATA!$A$2:$A$1000=5)*
(STUDENTDATA!$F$2:$F$1000="ST")*
(STUDENTDATA!$E$2:$E$1000="M")*
ISNUMBER(MATCH(STUDENTDATA!$G$2:$G$1000,{"A","B","C","D","E","I","II","III","अनुत्तीर्ण"},0))
)</f>
        <v>0</v>
      </c>
      <c r="H11" s="22" cm="1">
        <f t="array" aca="1" ref="H11" ca="1">SUMPRODUCT(
(STUDENTDATA!$A$2:$A$1000=5)*
(STUDENTDATA!$F$2:$F$1000="ST")*
(STUDENTDATA!$E$2:$E$1000="F")*
ISNUMBER(MATCH(STUDENTDATA!$G$2:$G$1000,{"A","B","C","D","E","I","II","III","अनुत्तीर्ण"},0))
)</f>
        <v>0</v>
      </c>
      <c r="I11" s="22">
        <f t="shared" ca="1" si="6"/>
        <v>0</v>
      </c>
      <c r="J11" s="22" cm="1">
        <f t="array" aca="1" ref="J11" ca="1">SUMPRODUCT(
(STUDENTDATA!$A$2:$A$1000=5)*
(STUDENTDATA!$F$2:$F$1000="OBC")*
(STUDENTDATA!$E$2:$E$1000="M")*
ISNUMBER(MATCH(STUDENTDATA!$G$2:$G$1000,{"A","B","C","D","E","I","II","III","अनुत्तीर्ण"},0))
)</f>
        <v>0</v>
      </c>
      <c r="K11" s="22" cm="1">
        <f t="array" aca="1" ref="K11" ca="1">SUMPRODUCT(
(STUDENTDATA!$A$2:$A$1000=5)*
(STUDENTDATA!$F$2:$F$1000="OBC")*
(STUDENTDATA!$E$2:$E$1000="F")*
ISNUMBER(MATCH(STUDENTDATA!$G$2:$G$1000,{"A","B","C","D","E","I","II","III","अनुत्तीर्ण"},0))
)</f>
        <v>0</v>
      </c>
      <c r="L11" s="22">
        <f t="shared" ca="1" si="7"/>
        <v>0</v>
      </c>
      <c r="M11" s="22" cm="1">
        <f t="array" aca="1" ref="M11" ca="1">SUMPRODUCT(
(STUDENTDATA!$A$2:$A$1000=5)*
(STUDENTDATA!$F$2:$F$1000="SBC")*
(STUDENTDATA!$E$2:$E$1000="M")*
ISNUMBER(MATCH(STUDENTDATA!$G$2:$G$1000,{"A","B","C","D","E","I","II","III","अनुत्तीर्ण"},0))
)</f>
        <v>0</v>
      </c>
      <c r="N11" s="22" cm="1">
        <f t="array" aca="1" ref="N11" ca="1">SUMPRODUCT(
(STUDENTDATA!$A$2:$A$1000=5)*
(STUDENTDATA!$F$2:$F$1000="SBC")*
(STUDENTDATA!$E$2:$E$1000="F")*
ISNUMBER(MATCH(STUDENTDATA!$G$2:$G$1000,{"A","B","C","D","E","I","II","III","अनुत्तीर्ण"},0))
)</f>
        <v>0</v>
      </c>
      <c r="O11" s="22">
        <f t="shared" ca="1" si="8"/>
        <v>0</v>
      </c>
      <c r="P11" s="22" cm="1">
        <f t="array" aca="1" ref="P11" ca="1">SUMPRODUCT(
(STUDENTDATA!$A$2:$A$1000=5)*
(STUDENTDATA!$F$2:$F$1000="GEN")*
(STUDENTDATA!$E$2:$E$1000="M")*
ISNUMBER(MATCH(STUDENTDATA!$G$2:$G$1000,{"A","B","C","D","E","I","II","III","अनुत्तीर्ण"},0))
)</f>
        <v>0</v>
      </c>
      <c r="Q11" s="22" cm="1">
        <f t="array" aca="1" ref="Q11" ca="1">SUMPRODUCT(
(STUDENTDATA!$A$2:$A$1000=5)*
(STUDENTDATA!$F$2:$F$1000="GEN")*
(STUDENTDATA!$E$2:$E$1000="F")*
ISNUMBER(MATCH(STUDENTDATA!$G$2:$G$1000,{"A","B","C","D","E","I","II","III","अनुत्तीर्ण"},0))
)</f>
        <v>0</v>
      </c>
      <c r="R11" s="22">
        <f t="shared" ca="1" si="9"/>
        <v>0</v>
      </c>
      <c r="S11" s="22" cm="1">
        <f t="array" aca="1" ref="S11" ca="1">SUMPRODUCT(
(STUDENTDATA!$A$2:$A$1000=5)*
(STUDENTDATA!$F$2:$F$1000="MIN")*
(STUDENTDATA!$E$2:$E$1000="M")*
ISNUMBER(MATCH(STUDENTDATA!$G$2:$G$1000,{"A","B","C","D","E","I","II","III","अनुत्तीर्ण"},0))
)</f>
        <v>0</v>
      </c>
      <c r="T11" s="22" cm="1">
        <f t="array" aca="1" ref="T11" ca="1">SUMPRODUCT(
(STUDENTDATA!$A$2:$A$1000=5)*
(STUDENTDATA!$F$2:$F$1000="MIN")*
(STUDENTDATA!$E$2:$E$1000="F")*
ISNUMBER(MATCH(STUDENTDATA!$G$2:$G$1000,{"A","B","C","D","E","I","II","III","अनुत्तीर्ण"},0))
)</f>
        <v>0</v>
      </c>
      <c r="U11" s="22">
        <f t="shared" ca="1" si="10"/>
        <v>0</v>
      </c>
      <c r="V11" s="22">
        <f t="shared" ca="1" si="11"/>
        <v>0</v>
      </c>
      <c r="W11" s="22">
        <f t="shared" ca="1" si="12"/>
        <v>0</v>
      </c>
      <c r="X11" s="22">
        <f t="shared" ca="1" si="13"/>
        <v>0</v>
      </c>
    </row>
    <row r="14" spans="1:37" ht="23.25" x14ac:dyDescent="0.25">
      <c r="A14" s="79" t="s">
        <v>1388</v>
      </c>
      <c r="B14" s="101" t="s">
        <v>1385</v>
      </c>
      <c r="C14" s="101"/>
      <c r="D14" s="101"/>
      <c r="E14" s="101"/>
      <c r="F14" s="101"/>
      <c r="G14" s="101"/>
      <c r="H14" s="101"/>
      <c r="I14" s="101"/>
      <c r="J14" s="101"/>
      <c r="K14" s="101"/>
      <c r="L14" s="101"/>
      <c r="M14" s="101"/>
      <c r="N14" s="101"/>
      <c r="O14" s="101"/>
      <c r="P14" s="101"/>
      <c r="Q14" s="101"/>
      <c r="R14" s="101"/>
      <c r="S14" s="101"/>
      <c r="T14" s="101"/>
      <c r="U14" s="101"/>
      <c r="V14" s="101"/>
      <c r="W14" s="101"/>
      <c r="X14" s="101"/>
      <c r="Y14" s="101"/>
      <c r="Z14" s="101"/>
      <c r="AA14" s="101"/>
      <c r="AB14" s="101"/>
      <c r="AC14" s="101"/>
      <c r="AD14" s="101"/>
      <c r="AE14" s="101"/>
      <c r="AF14" s="101"/>
      <c r="AG14" s="101"/>
      <c r="AH14" s="101"/>
      <c r="AI14" s="101"/>
      <c r="AJ14" s="101"/>
      <c r="AK14" s="101"/>
    </row>
    <row r="15" spans="1:37" ht="18" customHeight="1" x14ac:dyDescent="0.25">
      <c r="A15" s="79"/>
      <c r="B15" s="82" t="s">
        <v>4</v>
      </c>
      <c r="C15" s="82"/>
      <c r="D15" s="82"/>
      <c r="E15" s="82"/>
      <c r="F15" s="82"/>
      <c r="G15" s="82"/>
      <c r="H15" s="82" t="s">
        <v>5</v>
      </c>
      <c r="I15" s="82"/>
      <c r="J15" s="82"/>
      <c r="K15" s="82"/>
      <c r="L15" s="82"/>
      <c r="M15" s="82"/>
      <c r="N15" s="82" t="s">
        <v>6</v>
      </c>
      <c r="O15" s="82"/>
      <c r="P15" s="82"/>
      <c r="Q15" s="82"/>
      <c r="R15" s="82"/>
      <c r="S15" s="82"/>
      <c r="T15" s="82" t="s">
        <v>7</v>
      </c>
      <c r="U15" s="82"/>
      <c r="V15" s="82"/>
      <c r="W15" s="82"/>
      <c r="X15" s="82"/>
      <c r="Y15" s="82"/>
      <c r="Z15" s="82" t="s">
        <v>8</v>
      </c>
      <c r="AA15" s="82"/>
      <c r="AB15" s="82"/>
      <c r="AC15" s="82"/>
      <c r="AD15" s="82"/>
      <c r="AE15" s="82"/>
      <c r="AF15" s="82" t="s">
        <v>9</v>
      </c>
      <c r="AG15" s="82"/>
      <c r="AH15" s="82"/>
      <c r="AI15" s="82"/>
      <c r="AJ15" s="82"/>
      <c r="AK15" s="82"/>
    </row>
    <row r="16" spans="1:37" ht="29.25" customHeight="1" x14ac:dyDescent="0.25">
      <c r="A16" s="79"/>
      <c r="B16" s="24" t="s">
        <v>49</v>
      </c>
      <c r="C16" s="24" t="s">
        <v>10</v>
      </c>
      <c r="D16" s="24" t="s">
        <v>1376</v>
      </c>
      <c r="E16" s="24" t="s">
        <v>1377</v>
      </c>
      <c r="F16" s="24" t="s">
        <v>1378</v>
      </c>
      <c r="G16" s="25" t="s">
        <v>3</v>
      </c>
      <c r="H16" s="24" t="s">
        <v>49</v>
      </c>
      <c r="I16" s="24" t="s">
        <v>10</v>
      </c>
      <c r="J16" s="24" t="s">
        <v>1376</v>
      </c>
      <c r="K16" s="24" t="s">
        <v>1377</v>
      </c>
      <c r="L16" s="24" t="s">
        <v>1378</v>
      </c>
      <c r="M16" s="25" t="s">
        <v>3</v>
      </c>
      <c r="N16" s="24" t="s">
        <v>49</v>
      </c>
      <c r="O16" s="24" t="s">
        <v>10</v>
      </c>
      <c r="P16" s="24" t="s">
        <v>1376</v>
      </c>
      <c r="Q16" s="24" t="s">
        <v>1377</v>
      </c>
      <c r="R16" s="24" t="s">
        <v>1378</v>
      </c>
      <c r="S16" s="25" t="s">
        <v>3</v>
      </c>
      <c r="T16" s="24" t="s">
        <v>49</v>
      </c>
      <c r="U16" s="24" t="s">
        <v>10</v>
      </c>
      <c r="V16" s="24" t="s">
        <v>1376</v>
      </c>
      <c r="W16" s="24" t="s">
        <v>1377</v>
      </c>
      <c r="X16" s="24" t="s">
        <v>1378</v>
      </c>
      <c r="Y16" s="25" t="s">
        <v>3</v>
      </c>
      <c r="Z16" s="24" t="s">
        <v>49</v>
      </c>
      <c r="AA16" s="24" t="s">
        <v>10</v>
      </c>
      <c r="AB16" s="24" t="s">
        <v>1376</v>
      </c>
      <c r="AC16" s="24" t="s">
        <v>1377</v>
      </c>
      <c r="AD16" s="24" t="s">
        <v>1378</v>
      </c>
      <c r="AE16" s="25" t="s">
        <v>3</v>
      </c>
      <c r="AF16" s="24" t="s">
        <v>49</v>
      </c>
      <c r="AG16" s="24" t="s">
        <v>10</v>
      </c>
      <c r="AH16" s="24" t="s">
        <v>1376</v>
      </c>
      <c r="AI16" s="24" t="s">
        <v>1377</v>
      </c>
      <c r="AJ16" s="24" t="s">
        <v>1378</v>
      </c>
      <c r="AK16" s="25" t="s">
        <v>3</v>
      </c>
    </row>
    <row r="17" spans="1:37" s="19" customFormat="1" ht="38.25" customHeight="1" x14ac:dyDescent="0.25">
      <c r="A17" s="23">
        <v>1</v>
      </c>
      <c r="B17" s="23">
        <f>COUNTIFS(STUDENTDATA!$A:$A, "1", STUDENTDATA!$F:$F, "SC", STUDENTDATA!$E:$E, "M", STUDENTDATA!$G:$G, "A")</f>
        <v>0</v>
      </c>
      <c r="C17" s="23">
        <f>COUNTIFS(STUDENTDATA!$A:$A, "1", STUDENTDATA!$F:$F, "SC", STUDENTDATA!$E:$E, "M", STUDENTDATA!$G:$G, "B")</f>
        <v>0</v>
      </c>
      <c r="D17" s="23">
        <f>COUNTIFS(STUDENTDATA!$A:$A, "1", STUDENTDATA!$F:$F, "SC", STUDENTDATA!$E:$E, "M", STUDENTDATA!$G:$G, "C")</f>
        <v>0</v>
      </c>
      <c r="E17" s="23">
        <f>COUNTIFS(STUDENTDATA!$A:$A, "1", STUDENTDATA!$F:$F, "SC", STUDENTDATA!$E:$E, "M", STUDENTDATA!$G:$G, "D")</f>
        <v>0</v>
      </c>
      <c r="F17" s="23">
        <f>COUNTIFS(STUDENTDATA!$A:$A, "1", STUDENTDATA!$F:$F, "SC", STUDENTDATA!$E:$E, "M", STUDENTDATA!$G:$G, "E")</f>
        <v>0</v>
      </c>
      <c r="G17" s="23">
        <f>B17+C17+D17+E17+F17</f>
        <v>0</v>
      </c>
      <c r="H17" s="23">
        <f>COUNTIFS(STUDENTDATA!$A:$A, "1", STUDENTDATA!$F:$F, "ST", STUDENTDATA!$E:$E, "M", STUDENTDATA!$G:$G, "A")</f>
        <v>0</v>
      </c>
      <c r="I17" s="23">
        <f>COUNTIFS(STUDENTDATA!$A:$A, "1", STUDENTDATA!$F:$F, "ST", STUDENTDATA!$E:$E, "M", STUDENTDATA!$G:$G, "B")</f>
        <v>0</v>
      </c>
      <c r="J17" s="23">
        <f>COUNTIFS(STUDENTDATA!$A:$A, "1", STUDENTDATA!$F:$F, "ST", STUDENTDATA!$E:$E, "M", STUDENTDATA!$G:$G, "C")</f>
        <v>0</v>
      </c>
      <c r="K17" s="23">
        <f>COUNTIFS(STUDENTDATA!$A:$A, "1", STUDENTDATA!$F:$F, "ST", STUDENTDATA!$E:$E, "M", STUDENTDATA!$G:$G, "D")</f>
        <v>0</v>
      </c>
      <c r="L17" s="23">
        <f>COUNTIFS(STUDENTDATA!$A:$A, "1", STUDENTDATA!$F:$F, "ST", STUDENTDATA!$E:$E, "M", STUDENTDATA!$G:$G, "E")</f>
        <v>0</v>
      </c>
      <c r="M17" s="23">
        <f t="shared" ref="M17" si="14">H17+I17+J17+K17+L17</f>
        <v>0</v>
      </c>
      <c r="N17" s="23">
        <f>COUNTIFS(STUDENTDATA!$A:$A, "1", STUDENTDATA!$F:$F, "OBC", STUDENTDATA!$E:$E, "M", STUDENTDATA!$G:$G, "A")</f>
        <v>0</v>
      </c>
      <c r="O17" s="23">
        <f>COUNTIFS(STUDENTDATA!$A:$A, "1", STUDENTDATA!$F:$F, "OBC", STUDENTDATA!$E:$E, "M", STUDENTDATA!$G:$G, "B")</f>
        <v>0</v>
      </c>
      <c r="P17" s="23">
        <f>COUNTIFS(STUDENTDATA!$A:$A, "1", STUDENTDATA!$F:$F, "OBC", STUDENTDATA!$E:$E, "M", STUDENTDATA!$G:$G, "C")</f>
        <v>0</v>
      </c>
      <c r="Q17" s="23">
        <f>COUNTIFS(STUDENTDATA!$A:$A, "1", STUDENTDATA!$F:$F, "OBC", STUDENTDATA!$E:$E, "M", STUDENTDATA!$G:$G, "D")</f>
        <v>0</v>
      </c>
      <c r="R17" s="23">
        <f>COUNTIFS(STUDENTDATA!$A:$A, "1", STUDENTDATA!$F:$F, "OBC", STUDENTDATA!$E:$E, "M", STUDENTDATA!$G:$G, "E")</f>
        <v>0</v>
      </c>
      <c r="S17" s="23">
        <f t="shared" ref="S17" si="15">N17+O17+P17+Q17+R17</f>
        <v>0</v>
      </c>
      <c r="T17" s="23">
        <f>COUNTIFS(STUDENTDATA!$A:$A, "1", STUDENTDATA!$F:$F, "SBC", STUDENTDATA!$E:$E, "M", STUDENTDATA!$G:$G, "A")</f>
        <v>0</v>
      </c>
      <c r="U17" s="23">
        <f>COUNTIFS(STUDENTDATA!$A:$A, "1", STUDENTDATA!$F:$F, "SBC", STUDENTDATA!$E:$E, "M", STUDENTDATA!$G:$G, "B")</f>
        <v>0</v>
      </c>
      <c r="V17" s="23">
        <f>COUNTIFS(STUDENTDATA!$A:$A, "1", STUDENTDATA!$F:$F, "SBC", STUDENTDATA!$E:$E, "M", STUDENTDATA!$G:$G, "C")</f>
        <v>0</v>
      </c>
      <c r="W17" s="23">
        <f>COUNTIFS(STUDENTDATA!$A:$A, "1", STUDENTDATA!$F:$F, "SBC", STUDENTDATA!$E:$E, "M", STUDENTDATA!$G:$G, "D")</f>
        <v>0</v>
      </c>
      <c r="X17" s="23">
        <f>COUNTIFS(STUDENTDATA!$A:$A, "1", STUDENTDATA!$F:$F, "SBC", STUDENTDATA!$E:$E, "M", STUDENTDATA!$G:$G, "E")</f>
        <v>0</v>
      </c>
      <c r="Y17" s="23">
        <f t="shared" ref="Y17" si="16">T17+U17+V17+W17+X17</f>
        <v>0</v>
      </c>
      <c r="Z17" s="23">
        <f>COUNTIFS(STUDENTDATA!$A:$A, "1", STUDENTDATA!$F:$F, "GEN", STUDENTDATA!$E:$E, "M", STUDENTDATA!$G:$G, "A")</f>
        <v>0</v>
      </c>
      <c r="AA17" s="23">
        <f>COUNTIFS(STUDENTDATA!$A:$A, "1", STUDENTDATA!$F:$F, "GEN", STUDENTDATA!$E:$E, "M", STUDENTDATA!$G:$G, "B")</f>
        <v>0</v>
      </c>
      <c r="AB17" s="23">
        <f>COUNTIFS(STUDENTDATA!$A:$A, "1", STUDENTDATA!$F:$F, "GEN", STUDENTDATA!$E:$E, "M", STUDENTDATA!$G:$G, "C")</f>
        <v>0</v>
      </c>
      <c r="AC17" s="23">
        <f>COUNTIFS(STUDENTDATA!$A:$A, "1", STUDENTDATA!$F:$F, "GEN", STUDENTDATA!$E:$E, "M", STUDENTDATA!$G:$G, "D")</f>
        <v>0</v>
      </c>
      <c r="AD17" s="23">
        <f>COUNTIFS(STUDENTDATA!$A:$A, "1", STUDENTDATA!$F:$F, "GEN", STUDENTDATA!$E:$E, "M", STUDENTDATA!$G:$G, "E")</f>
        <v>0</v>
      </c>
      <c r="AE17" s="23">
        <f t="shared" ref="AE17" si="17">Z17+AA17+AB17+AC17+AD17</f>
        <v>0</v>
      </c>
      <c r="AF17" s="23">
        <f>COUNTIFS(STUDENTDATA!$A:$A, "1", STUDENTDATA!$F:$F, "MIN", STUDENTDATA!$E:$E, "M", STUDENTDATA!$G:$G, "A")</f>
        <v>0</v>
      </c>
      <c r="AG17" s="23">
        <f>COUNTIFS(STUDENTDATA!$A:$A, "1", STUDENTDATA!$F:$F, "MIN", STUDENTDATA!$E:$E, "M", STUDENTDATA!$G:$G, "B")</f>
        <v>0</v>
      </c>
      <c r="AH17" s="23">
        <f>COUNTIFS(STUDENTDATA!$A:$A, "1", STUDENTDATA!$F:$F, "MIN", STUDENTDATA!$E:$E, "M", STUDENTDATA!$G:$G, "C")</f>
        <v>0</v>
      </c>
      <c r="AI17" s="23">
        <f>COUNTIFS(STUDENTDATA!$A:$A, "1", STUDENTDATA!$F:$F, "MIN", STUDENTDATA!$E:$E, "M", STUDENTDATA!$G:$G, "D")</f>
        <v>0</v>
      </c>
      <c r="AJ17" s="23">
        <f>COUNTIFS(STUDENTDATA!$A:$A, "1", STUDENTDATA!$F:$F, "MIN", STUDENTDATA!$E:$E, "M", STUDENTDATA!$G:$G, "E")</f>
        <v>0</v>
      </c>
      <c r="AK17" s="23">
        <f t="shared" ref="AK17" si="18">AF17+AG17+AH17+AI17+AJ17</f>
        <v>0</v>
      </c>
    </row>
    <row r="18" spans="1:37" s="19" customFormat="1" ht="38.25" customHeight="1" x14ac:dyDescent="0.25">
      <c r="A18" s="23">
        <v>2</v>
      </c>
      <c r="B18" s="23">
        <f>COUNTIFS(STUDENTDATA!$A:$A, "2", STUDENTDATA!$F:$F, "SC", STUDENTDATA!$E:$E, "M", STUDENTDATA!$G:$G, "A")</f>
        <v>0</v>
      </c>
      <c r="C18" s="23">
        <f>COUNTIFS(STUDENTDATA!$A:$A, "2", STUDENTDATA!$F:$F, "SC", STUDENTDATA!$E:$E, "M", STUDENTDATA!$G:$G, "B")</f>
        <v>0</v>
      </c>
      <c r="D18" s="23">
        <f>COUNTIFS(STUDENTDATA!$A:$A, "2", STUDENTDATA!$F:$F, "SC", STUDENTDATA!$E:$E, "M", STUDENTDATA!$G:$G, "C")</f>
        <v>0</v>
      </c>
      <c r="E18" s="23">
        <f>COUNTIFS(STUDENTDATA!$A:$A, "2", STUDENTDATA!$F:$F, "SC", STUDENTDATA!$E:$E, "M", STUDENTDATA!$G:$G, "D")</f>
        <v>0</v>
      </c>
      <c r="F18" s="23">
        <f>COUNTIFS(STUDENTDATA!$A:$A, "2", STUDENTDATA!$F:$F, "SC", STUDENTDATA!$E:$E, "M", STUDENTDATA!$G:$G, "E")</f>
        <v>0</v>
      </c>
      <c r="G18" s="23">
        <f t="shared" ref="G18:G21" si="19">B18+C18+D18+E18+F18</f>
        <v>0</v>
      </c>
      <c r="H18" s="23">
        <f>COUNTIFS(STUDENTDATA!$A:$A, "2", STUDENTDATA!$F:$F, "ST", STUDENTDATA!$E:$E, "M", STUDENTDATA!$G:$G, "A")</f>
        <v>0</v>
      </c>
      <c r="I18" s="23">
        <f>COUNTIFS(STUDENTDATA!$A:$A, "2", STUDENTDATA!$F:$F, "ST", STUDENTDATA!$E:$E, "M", STUDENTDATA!$G:$G, "B")</f>
        <v>0</v>
      </c>
      <c r="J18" s="23">
        <f>COUNTIFS(STUDENTDATA!$A:$A, "2", STUDENTDATA!$F:$F, "ST", STUDENTDATA!$E:$E, "M", STUDENTDATA!$G:$G, "C")</f>
        <v>0</v>
      </c>
      <c r="K18" s="23">
        <f>COUNTIFS(STUDENTDATA!$A:$A, "2", STUDENTDATA!$F:$F, "ST", STUDENTDATA!$E:$E, "M", STUDENTDATA!$G:$G, "D")</f>
        <v>0</v>
      </c>
      <c r="L18" s="23">
        <f>COUNTIFS(STUDENTDATA!$A:$A, "2", STUDENTDATA!$F:$F, "ST", STUDENTDATA!$E:$E, "M", STUDENTDATA!$G:$G, "E")</f>
        <v>0</v>
      </c>
      <c r="M18" s="23">
        <f t="shared" ref="M18:M21" si="20">H18+I18+J18+K18+L18</f>
        <v>0</v>
      </c>
      <c r="N18" s="23">
        <f>COUNTIFS(STUDENTDATA!$A:$A, "2", STUDENTDATA!$F:$F, "OBC", STUDENTDATA!$E:$E, "M", STUDENTDATA!$G:$G, "A")</f>
        <v>0</v>
      </c>
      <c r="O18" s="23">
        <f>COUNTIFS(STUDENTDATA!$A:$A, "2", STUDENTDATA!$F:$F, "OBC", STUDENTDATA!$E:$E, "M", STUDENTDATA!$G:$G, "B")</f>
        <v>0</v>
      </c>
      <c r="P18" s="23">
        <f>COUNTIFS(STUDENTDATA!$A:$A, "2", STUDENTDATA!$F:$F, "OBC", STUDENTDATA!$E:$E, "M", STUDENTDATA!$G:$G, "C")</f>
        <v>0</v>
      </c>
      <c r="Q18" s="23">
        <f>COUNTIFS(STUDENTDATA!$A:$A, "2", STUDENTDATA!$F:$F, "OBC", STUDENTDATA!$E:$E, "M", STUDENTDATA!$G:$G, "D")</f>
        <v>0</v>
      </c>
      <c r="R18" s="23">
        <f>COUNTIFS(STUDENTDATA!$A:$A, "2", STUDENTDATA!$F:$F, "OBC", STUDENTDATA!$E:$E, "M", STUDENTDATA!$G:$G, "E")</f>
        <v>0</v>
      </c>
      <c r="S18" s="23">
        <f t="shared" ref="S18:S21" si="21">N18+O18+P18+Q18+R18</f>
        <v>0</v>
      </c>
      <c r="T18" s="23">
        <f>COUNTIFS(STUDENTDATA!$A:$A, "2", STUDENTDATA!$F:$F, "SBC", STUDENTDATA!$E:$E, "M", STUDENTDATA!$G:$G, "A")</f>
        <v>0</v>
      </c>
      <c r="U18" s="23">
        <f>COUNTIFS(STUDENTDATA!$A:$A, "2", STUDENTDATA!$F:$F, "SBC", STUDENTDATA!$E:$E, "M", STUDENTDATA!$G:$G, "B")</f>
        <v>0</v>
      </c>
      <c r="V18" s="23">
        <f>COUNTIFS(STUDENTDATA!$A:$A, "2", STUDENTDATA!$F:$F, "SBC", STUDENTDATA!$E:$E, "M", STUDENTDATA!$G:$G, "C")</f>
        <v>0</v>
      </c>
      <c r="W18" s="23">
        <f>COUNTIFS(STUDENTDATA!$A:$A, "2", STUDENTDATA!$F:$F, "SBC", STUDENTDATA!$E:$E, "M", STUDENTDATA!$G:$G, "D")</f>
        <v>0</v>
      </c>
      <c r="X18" s="23">
        <f>COUNTIFS(STUDENTDATA!$A:$A, "2", STUDENTDATA!$F:$F, "SBC", STUDENTDATA!$E:$E, "M", STUDENTDATA!$G:$G, "E")</f>
        <v>0</v>
      </c>
      <c r="Y18" s="23">
        <f t="shared" ref="Y18:Y21" si="22">T18+U18+V18+W18+X18</f>
        <v>0</v>
      </c>
      <c r="Z18" s="23">
        <f>COUNTIFS(STUDENTDATA!$A:$A, "2", STUDENTDATA!$F:$F, "GEN", STUDENTDATA!$E:$E, "M", STUDENTDATA!$G:$G, "A")</f>
        <v>0</v>
      </c>
      <c r="AA18" s="23">
        <f>COUNTIFS(STUDENTDATA!$A:$A, "2", STUDENTDATA!$F:$F, "GEN", STUDENTDATA!$E:$E, "M", STUDENTDATA!$G:$G, "B")</f>
        <v>0</v>
      </c>
      <c r="AB18" s="23">
        <f>COUNTIFS(STUDENTDATA!$A:$A, "2", STUDENTDATA!$F:$F, "GEN", STUDENTDATA!$E:$E, "M", STUDENTDATA!$G:$G, "C")</f>
        <v>0</v>
      </c>
      <c r="AC18" s="23">
        <f>COUNTIFS(STUDENTDATA!$A:$A, "2", STUDENTDATA!$F:$F, "GEN", STUDENTDATA!$E:$E, "M", STUDENTDATA!$G:$G, "D")</f>
        <v>0</v>
      </c>
      <c r="AD18" s="23">
        <f>COUNTIFS(STUDENTDATA!$A:$A, "2", STUDENTDATA!$F:$F, "GEN", STUDENTDATA!$E:$E, "M", STUDENTDATA!$G:$G, "E")</f>
        <v>0</v>
      </c>
      <c r="AE18" s="23">
        <f t="shared" ref="AE18:AE21" si="23">Z18+AA18+AB18+AC18+AD18</f>
        <v>0</v>
      </c>
      <c r="AF18" s="23">
        <f>COUNTIFS(STUDENTDATA!$A:$A, "2", STUDENTDATA!$F:$F, "MIN", STUDENTDATA!$E:$E, "M", STUDENTDATA!$G:$G, "A")</f>
        <v>0</v>
      </c>
      <c r="AG18" s="23">
        <f>COUNTIFS(STUDENTDATA!$A:$A, "2", STUDENTDATA!$F:$F, "MIN", STUDENTDATA!$E:$E, "M", STUDENTDATA!$G:$G, "B")</f>
        <v>0</v>
      </c>
      <c r="AH18" s="23">
        <f>COUNTIFS(STUDENTDATA!$A:$A, "2", STUDENTDATA!$F:$F, "MIN", STUDENTDATA!$E:$E, "M", STUDENTDATA!$G:$G, "C")</f>
        <v>0</v>
      </c>
      <c r="AI18" s="23">
        <f>COUNTIFS(STUDENTDATA!$A:$A, "2", STUDENTDATA!$F:$F, "MIN", STUDENTDATA!$E:$E, "M", STUDENTDATA!$G:$G, "D")</f>
        <v>0</v>
      </c>
      <c r="AJ18" s="23">
        <f>COUNTIFS(STUDENTDATA!$A:$A, "2", STUDENTDATA!$F:$F, "MIN", STUDENTDATA!$E:$E, "M", STUDENTDATA!$G:$G, "E")</f>
        <v>0</v>
      </c>
      <c r="AK18" s="23">
        <f t="shared" ref="AK18:AK21" si="24">AF18+AG18+AH18+AI18+AJ18</f>
        <v>0</v>
      </c>
    </row>
    <row r="19" spans="1:37" s="19" customFormat="1" ht="38.25" customHeight="1" x14ac:dyDescent="0.25">
      <c r="A19" s="23">
        <v>3</v>
      </c>
      <c r="B19" s="23">
        <f>COUNTIFS(STUDENTDATA!$A:$A, "3", STUDENTDATA!$F:$F, "SC", STUDENTDATA!$E:$E, "M", STUDENTDATA!$G:$G, "A")</f>
        <v>0</v>
      </c>
      <c r="C19" s="23">
        <f>COUNTIFS(STUDENTDATA!$A:$A, "3", STUDENTDATA!$F:$F, "SC", STUDENTDATA!$E:$E, "M", STUDENTDATA!$G:$G, "B")</f>
        <v>0</v>
      </c>
      <c r="D19" s="23">
        <f>COUNTIFS(STUDENTDATA!$A:$A, "3", STUDENTDATA!$F:$F, "SC", STUDENTDATA!$E:$E, "M", STUDENTDATA!$G:$G, "C")</f>
        <v>0</v>
      </c>
      <c r="E19" s="23">
        <f>COUNTIFS(STUDENTDATA!$A:$A, "3", STUDENTDATA!$F:$F, "SC", STUDENTDATA!$E:$E, "M", STUDENTDATA!$G:$G, "D")</f>
        <v>0</v>
      </c>
      <c r="F19" s="23">
        <f>COUNTIFS(STUDENTDATA!$A:$A, "3", STUDENTDATA!$F:$F, "SC", STUDENTDATA!$E:$E, "M", STUDENTDATA!$G:$G, "E")</f>
        <v>0</v>
      </c>
      <c r="G19" s="23">
        <f t="shared" si="19"/>
        <v>0</v>
      </c>
      <c r="H19" s="23">
        <f>COUNTIFS(STUDENTDATA!$A:$A, "3", STUDENTDATA!$F:$F, "ST", STUDENTDATA!$E:$E, "M", STUDENTDATA!$G:$G, "A")</f>
        <v>0</v>
      </c>
      <c r="I19" s="23">
        <f>COUNTIFS(STUDENTDATA!$A:$A, "3", STUDENTDATA!$F:$F, "ST", STUDENTDATA!$E:$E, "M", STUDENTDATA!$G:$G, "B")</f>
        <v>0</v>
      </c>
      <c r="J19" s="23">
        <f>COUNTIFS(STUDENTDATA!$A:$A, "3", STUDENTDATA!$F:$F, "ST", STUDENTDATA!$E:$E, "M", STUDENTDATA!$G:$G, "C")</f>
        <v>0</v>
      </c>
      <c r="K19" s="23">
        <f>COUNTIFS(STUDENTDATA!$A:$A, "3", STUDENTDATA!$F:$F, "ST", STUDENTDATA!$E:$E, "M", STUDENTDATA!$G:$G, "D")</f>
        <v>0</v>
      </c>
      <c r="L19" s="23">
        <f>COUNTIFS(STUDENTDATA!$A:$A, "3", STUDENTDATA!$F:$F, "ST", STUDENTDATA!$E:$E, "M", STUDENTDATA!$G:$G, "E")</f>
        <v>0</v>
      </c>
      <c r="M19" s="23">
        <f t="shared" si="20"/>
        <v>0</v>
      </c>
      <c r="N19" s="23">
        <f>COUNTIFS(STUDENTDATA!$A:$A, "3", STUDENTDATA!$F:$F, "OBC", STUDENTDATA!$E:$E, "M", STUDENTDATA!$G:$G, "A")</f>
        <v>0</v>
      </c>
      <c r="O19" s="23">
        <f>COUNTIFS(STUDENTDATA!$A:$A, "3", STUDENTDATA!$F:$F, "OBC", STUDENTDATA!$E:$E, "M", STUDENTDATA!$G:$G, "B")</f>
        <v>0</v>
      </c>
      <c r="P19" s="23">
        <f>COUNTIFS(STUDENTDATA!$A:$A, "3", STUDENTDATA!$F:$F, "OBC", STUDENTDATA!$E:$E, "M", STUDENTDATA!$G:$G, "C")</f>
        <v>0</v>
      </c>
      <c r="Q19" s="23">
        <f>COUNTIFS(STUDENTDATA!$A:$A, "3", STUDENTDATA!$F:$F, "OBC", STUDENTDATA!$E:$E, "M", STUDENTDATA!$G:$G, "D")</f>
        <v>0</v>
      </c>
      <c r="R19" s="23">
        <f>COUNTIFS(STUDENTDATA!$A:$A, "3", STUDENTDATA!$F:$F, "OBC", STUDENTDATA!$E:$E, "M", STUDENTDATA!$G:$G, "E")</f>
        <v>0</v>
      </c>
      <c r="S19" s="23">
        <f t="shared" si="21"/>
        <v>0</v>
      </c>
      <c r="T19" s="23">
        <f>COUNTIFS(STUDENTDATA!$A:$A, "3", STUDENTDATA!$F:$F, "SBC", STUDENTDATA!$E:$E, "M", STUDENTDATA!$G:$G, "A")</f>
        <v>0</v>
      </c>
      <c r="U19" s="23">
        <f>COUNTIFS(STUDENTDATA!$A:$A, "3", STUDENTDATA!$F:$F, "SBC", STUDENTDATA!$E:$E, "M", STUDENTDATA!$G:$G, "B")</f>
        <v>0</v>
      </c>
      <c r="V19" s="23">
        <f>COUNTIFS(STUDENTDATA!$A:$A, "3", STUDENTDATA!$F:$F, "SBC", STUDENTDATA!$E:$E, "M", STUDENTDATA!$G:$G, "C")</f>
        <v>0</v>
      </c>
      <c r="W19" s="23">
        <f>COUNTIFS(STUDENTDATA!$A:$A, "3", STUDENTDATA!$F:$F, "SBC", STUDENTDATA!$E:$E, "M", STUDENTDATA!$G:$G, "D")</f>
        <v>0</v>
      </c>
      <c r="X19" s="23">
        <f>COUNTIFS(STUDENTDATA!$A:$A, "3", STUDENTDATA!$F:$F, "SBC", STUDENTDATA!$E:$E, "M", STUDENTDATA!$G:$G, "E")</f>
        <v>0</v>
      </c>
      <c r="Y19" s="23">
        <f t="shared" si="22"/>
        <v>0</v>
      </c>
      <c r="Z19" s="23">
        <f>COUNTIFS(STUDENTDATA!$A:$A, "3", STUDENTDATA!$F:$F, "GEN", STUDENTDATA!$E:$E, "M", STUDENTDATA!$G:$G, "A")</f>
        <v>0</v>
      </c>
      <c r="AA19" s="23">
        <f>COUNTIFS(STUDENTDATA!$A:$A, "3", STUDENTDATA!$F:$F, "GEN", STUDENTDATA!$E:$E, "M", STUDENTDATA!$G:$G, "B")</f>
        <v>0</v>
      </c>
      <c r="AB19" s="23">
        <f>COUNTIFS(STUDENTDATA!$A:$A, "3", STUDENTDATA!$F:$F, "GEN", STUDENTDATA!$E:$E, "M", STUDENTDATA!$G:$G, "C")</f>
        <v>0</v>
      </c>
      <c r="AC19" s="23">
        <f>COUNTIFS(STUDENTDATA!$A:$A, "3", STUDENTDATA!$F:$F, "GEN", STUDENTDATA!$E:$E, "M", STUDENTDATA!$G:$G, "D")</f>
        <v>0</v>
      </c>
      <c r="AD19" s="23">
        <f>COUNTIFS(STUDENTDATA!$A:$A, "3", STUDENTDATA!$F:$F, "GEN", STUDENTDATA!$E:$E, "M", STUDENTDATA!$G:$G, "E")</f>
        <v>0</v>
      </c>
      <c r="AE19" s="23">
        <f t="shared" si="23"/>
        <v>0</v>
      </c>
      <c r="AF19" s="23">
        <f>COUNTIFS(STUDENTDATA!$A:$A, "3", STUDENTDATA!$F:$F, "MIN", STUDENTDATA!$E:$E, "M", STUDENTDATA!$G:$G, "A")</f>
        <v>0</v>
      </c>
      <c r="AG19" s="23">
        <f>COUNTIFS(STUDENTDATA!$A:$A, "3", STUDENTDATA!$F:$F, "MIN", STUDENTDATA!$E:$E, "M", STUDENTDATA!$G:$G, "B")</f>
        <v>0</v>
      </c>
      <c r="AH19" s="23">
        <f>COUNTIFS(STUDENTDATA!$A:$A, "3", STUDENTDATA!$F:$F, "MIN", STUDENTDATA!$E:$E, "M", STUDENTDATA!$G:$G, "C")</f>
        <v>0</v>
      </c>
      <c r="AI19" s="23">
        <f>COUNTIFS(STUDENTDATA!$A:$A, "3", STUDENTDATA!$F:$F, "MIN", STUDENTDATA!$E:$E, "M", STUDENTDATA!$G:$G, "D")</f>
        <v>0</v>
      </c>
      <c r="AJ19" s="23">
        <f>COUNTIFS(STUDENTDATA!$A:$A, "3", STUDENTDATA!$F:$F, "MIN", STUDENTDATA!$E:$E, "M", STUDENTDATA!$G:$G, "E")</f>
        <v>0</v>
      </c>
      <c r="AK19" s="23">
        <f t="shared" si="24"/>
        <v>0</v>
      </c>
    </row>
    <row r="20" spans="1:37" s="19" customFormat="1" ht="38.25" customHeight="1" x14ac:dyDescent="0.25">
      <c r="A20" s="23">
        <v>4</v>
      </c>
      <c r="B20" s="23">
        <f>COUNTIFS(STUDENTDATA!$A:$A, "4", STUDENTDATA!$F:$F, "SC", STUDENTDATA!$E:$E, "M", STUDENTDATA!$G:$G, "A")</f>
        <v>0</v>
      </c>
      <c r="C20" s="23">
        <f>COUNTIFS(STUDENTDATA!$A:$A, "4", STUDENTDATA!$F:$F, "SC", STUDENTDATA!$E:$E, "M", STUDENTDATA!$G:$G, "B")</f>
        <v>0</v>
      </c>
      <c r="D20" s="23">
        <f>COUNTIFS(STUDENTDATA!$A:$A, "4", STUDENTDATA!$F:$F, "SC", STUDENTDATA!$E:$E, "M", STUDENTDATA!$G:$G, "C")</f>
        <v>0</v>
      </c>
      <c r="E20" s="23">
        <f>COUNTIFS(STUDENTDATA!$A:$A, "4", STUDENTDATA!$F:$F, "SC", STUDENTDATA!$E:$E, "M", STUDENTDATA!$G:$G, "D")</f>
        <v>0</v>
      </c>
      <c r="F20" s="23">
        <f>COUNTIFS(STUDENTDATA!$A:$A, "4", STUDENTDATA!$F:$F, "SC", STUDENTDATA!$E:$E, "M", STUDENTDATA!$G:$G, "E")</f>
        <v>0</v>
      </c>
      <c r="G20" s="23">
        <f t="shared" si="19"/>
        <v>0</v>
      </c>
      <c r="H20" s="23">
        <f>COUNTIFS(STUDENTDATA!$A:$A, "4", STUDENTDATA!$F:$F, "ST", STUDENTDATA!$E:$E, "M", STUDENTDATA!$G:$G, "A")</f>
        <v>0</v>
      </c>
      <c r="I20" s="23">
        <f>COUNTIFS(STUDENTDATA!$A:$A, "4", STUDENTDATA!$F:$F, "ST", STUDENTDATA!$E:$E, "M", STUDENTDATA!$G:$G, "B")</f>
        <v>0</v>
      </c>
      <c r="J20" s="23">
        <f>COUNTIFS(STUDENTDATA!$A:$A, "4", STUDENTDATA!$F:$F, "ST", STUDENTDATA!$E:$E, "M", STUDENTDATA!$G:$G, "C")</f>
        <v>0</v>
      </c>
      <c r="K20" s="23">
        <f>COUNTIFS(STUDENTDATA!$A:$A, "4", STUDENTDATA!$F:$F, "ST", STUDENTDATA!$E:$E, "M", STUDENTDATA!$G:$G, "D")</f>
        <v>0</v>
      </c>
      <c r="L20" s="23">
        <f>COUNTIFS(STUDENTDATA!$A:$A, "4", STUDENTDATA!$F:$F, "ST", STUDENTDATA!$E:$E, "M", STUDENTDATA!$G:$G, "E")</f>
        <v>0</v>
      </c>
      <c r="M20" s="23">
        <f t="shared" si="20"/>
        <v>0</v>
      </c>
      <c r="N20" s="23">
        <f>COUNTIFS(STUDENTDATA!$A:$A, "4", STUDENTDATA!$F:$F, "OBC", STUDENTDATA!$E:$E, "M", STUDENTDATA!$G:$G, "A")</f>
        <v>0</v>
      </c>
      <c r="O20" s="23">
        <f>COUNTIFS(STUDENTDATA!$A:$A, "4", STUDENTDATA!$F:$F, "OBC", STUDENTDATA!$E:$E, "M", STUDENTDATA!$G:$G, "B")</f>
        <v>0</v>
      </c>
      <c r="P20" s="23">
        <f>COUNTIFS(STUDENTDATA!$A:$A, "4", STUDENTDATA!$F:$F, "OBC", STUDENTDATA!$E:$E, "M", STUDENTDATA!$G:$G, "C")</f>
        <v>0</v>
      </c>
      <c r="Q20" s="23">
        <f>COUNTIFS(STUDENTDATA!$A:$A, "4", STUDENTDATA!$F:$F, "OBC", STUDENTDATA!$E:$E, "M", STUDENTDATA!$G:$G, "D")</f>
        <v>0</v>
      </c>
      <c r="R20" s="23">
        <f>COUNTIFS(STUDENTDATA!$A:$A, "4", STUDENTDATA!$F:$F, "OBC", STUDENTDATA!$E:$E, "M", STUDENTDATA!$G:$G, "E")</f>
        <v>0</v>
      </c>
      <c r="S20" s="23">
        <f t="shared" si="21"/>
        <v>0</v>
      </c>
      <c r="T20" s="23">
        <f>COUNTIFS(STUDENTDATA!$A:$A, "4", STUDENTDATA!$F:$F, "SBC", STUDENTDATA!$E:$E, "M", STUDENTDATA!$G:$G, "A")</f>
        <v>0</v>
      </c>
      <c r="U20" s="23">
        <f>COUNTIFS(STUDENTDATA!$A:$A, "4", STUDENTDATA!$F:$F, "SBC", STUDENTDATA!$E:$E, "M", STUDENTDATA!$G:$G, "B")</f>
        <v>0</v>
      </c>
      <c r="V20" s="23">
        <f>COUNTIFS(STUDENTDATA!$A:$A, "4", STUDENTDATA!$F:$F, "SBC", STUDENTDATA!$E:$E, "M", STUDENTDATA!$G:$G, "C")</f>
        <v>0</v>
      </c>
      <c r="W20" s="23">
        <f>COUNTIFS(STUDENTDATA!$A:$A, "4", STUDENTDATA!$F:$F, "SBC", STUDENTDATA!$E:$E, "M", STUDENTDATA!$G:$G, "D")</f>
        <v>0</v>
      </c>
      <c r="X20" s="23">
        <f>COUNTIFS(STUDENTDATA!$A:$A, "4", STUDENTDATA!$F:$F, "SBC", STUDENTDATA!$E:$E, "M", STUDENTDATA!$G:$G, "E")</f>
        <v>0</v>
      </c>
      <c r="Y20" s="23">
        <f t="shared" si="22"/>
        <v>0</v>
      </c>
      <c r="Z20" s="23">
        <f>COUNTIFS(STUDENTDATA!$A:$A, "4", STUDENTDATA!$F:$F, "GEN", STUDENTDATA!$E:$E, "M", STUDENTDATA!$G:$G, "A")</f>
        <v>0</v>
      </c>
      <c r="AA20" s="23">
        <f>COUNTIFS(STUDENTDATA!$A:$A, "4", STUDENTDATA!$F:$F, "GEN", STUDENTDATA!$E:$E, "M", STUDENTDATA!$G:$G, "B")</f>
        <v>0</v>
      </c>
      <c r="AB20" s="23">
        <f>COUNTIFS(STUDENTDATA!$A:$A, "4", STUDENTDATA!$F:$F, "GEN", STUDENTDATA!$E:$E, "M", STUDENTDATA!$G:$G, "C")</f>
        <v>0</v>
      </c>
      <c r="AC20" s="23">
        <f>COUNTIFS(STUDENTDATA!$A:$A, "4", STUDENTDATA!$F:$F, "GEN", STUDENTDATA!$E:$E, "M", STUDENTDATA!$G:$G, "D")</f>
        <v>0</v>
      </c>
      <c r="AD20" s="23">
        <f>COUNTIFS(STUDENTDATA!$A:$A, "4", STUDENTDATA!$F:$F, "GEN", STUDENTDATA!$E:$E, "M", STUDENTDATA!$G:$G, "E")</f>
        <v>0</v>
      </c>
      <c r="AE20" s="23">
        <f t="shared" si="23"/>
        <v>0</v>
      </c>
      <c r="AF20" s="23">
        <f>COUNTIFS(STUDENTDATA!$A:$A, "4", STUDENTDATA!$F:$F, "MIN", STUDENTDATA!$E:$E, "M", STUDENTDATA!$G:$G, "A")</f>
        <v>0</v>
      </c>
      <c r="AG20" s="23">
        <f>COUNTIFS(STUDENTDATA!$A:$A, "4", STUDENTDATA!$F:$F, "MIN", STUDENTDATA!$E:$E, "M", STUDENTDATA!$G:$G, "B")</f>
        <v>0</v>
      </c>
      <c r="AH20" s="23">
        <f>COUNTIFS(STUDENTDATA!$A:$A, "4", STUDENTDATA!$F:$F, "MIN", STUDENTDATA!$E:$E, "M", STUDENTDATA!$G:$G, "C")</f>
        <v>0</v>
      </c>
      <c r="AI20" s="23">
        <f>COUNTIFS(STUDENTDATA!$A:$A, "4", STUDENTDATA!$F:$F, "MIN", STUDENTDATA!$E:$E, "M", STUDENTDATA!$G:$G, "D")</f>
        <v>0</v>
      </c>
      <c r="AJ20" s="23">
        <f>COUNTIFS(STUDENTDATA!$A:$A, "4", STUDENTDATA!$F:$F, "MIN", STUDENTDATA!$E:$E, "M", STUDENTDATA!$G:$G, "E")</f>
        <v>0</v>
      </c>
      <c r="AK20" s="23">
        <f t="shared" si="24"/>
        <v>0</v>
      </c>
    </row>
    <row r="21" spans="1:37" s="19" customFormat="1" ht="38.25" customHeight="1" x14ac:dyDescent="0.25">
      <c r="A21" s="23">
        <v>5</v>
      </c>
      <c r="B21" s="23">
        <f>COUNTIFS(STUDENTDATA!$A:$A, "5", STUDENTDATA!$F:$F, "SC", STUDENTDATA!$E:$E, "M", STUDENTDATA!$G:$G, "A")</f>
        <v>0</v>
      </c>
      <c r="C21" s="23">
        <f>COUNTIFS(STUDENTDATA!$A:$A, "5", STUDENTDATA!$F:$F, "SC", STUDENTDATA!$E:$E, "M", STUDENTDATA!$G:$G, "B")</f>
        <v>0</v>
      </c>
      <c r="D21" s="23">
        <f>COUNTIFS(STUDENTDATA!$A:$A, "5", STUDENTDATA!$F:$F, "SC", STUDENTDATA!$E:$E, "M", STUDENTDATA!$G:$G, "C")</f>
        <v>0</v>
      </c>
      <c r="E21" s="23">
        <f>COUNTIFS(STUDENTDATA!$A:$A, "5", STUDENTDATA!$F:$F, "SC", STUDENTDATA!$E:$E, "M", STUDENTDATA!$G:$G, "D")</f>
        <v>0</v>
      </c>
      <c r="F21" s="23">
        <f>COUNTIFS(STUDENTDATA!$A:$A, "5", STUDENTDATA!$F:$F, "SC", STUDENTDATA!$E:$E, "M", STUDENTDATA!$G:$G, "E")</f>
        <v>0</v>
      </c>
      <c r="G21" s="23">
        <f t="shared" si="19"/>
        <v>0</v>
      </c>
      <c r="H21" s="23">
        <f>COUNTIFS(STUDENTDATA!$A:$A, "5", STUDENTDATA!$F:$F, "ST", STUDENTDATA!$E:$E, "M", STUDENTDATA!$G:$G, "A")</f>
        <v>0</v>
      </c>
      <c r="I21" s="23">
        <f>COUNTIFS(STUDENTDATA!$A:$A, "5", STUDENTDATA!$F:$F, "ST", STUDENTDATA!$E:$E, "M", STUDENTDATA!$G:$G, "B")</f>
        <v>0</v>
      </c>
      <c r="J21" s="23">
        <f>COUNTIFS(STUDENTDATA!$A:$A, "5", STUDENTDATA!$F:$F, "ST", STUDENTDATA!$E:$E, "M", STUDENTDATA!$G:$G, "C")</f>
        <v>0</v>
      </c>
      <c r="K21" s="23">
        <f>COUNTIFS(STUDENTDATA!$A:$A, "5", STUDENTDATA!$F:$F, "ST", STUDENTDATA!$E:$E, "M", STUDENTDATA!$G:$G, "D")</f>
        <v>0</v>
      </c>
      <c r="L21" s="23">
        <f>COUNTIFS(STUDENTDATA!$A:$A, "5", STUDENTDATA!$F:$F, "ST", STUDENTDATA!$E:$E, "M", STUDENTDATA!$G:$G, "E")</f>
        <v>0</v>
      </c>
      <c r="M21" s="23">
        <f t="shared" si="20"/>
        <v>0</v>
      </c>
      <c r="N21" s="23">
        <f>COUNTIFS(STUDENTDATA!$A:$A, "5", STUDENTDATA!$F:$F, "OBC", STUDENTDATA!$E:$E, "M", STUDENTDATA!$G:$G, "A")</f>
        <v>0</v>
      </c>
      <c r="O21" s="23">
        <f>COUNTIFS(STUDENTDATA!$A:$A, "5", STUDENTDATA!$F:$F, "OBC", STUDENTDATA!$E:$E, "M", STUDENTDATA!$G:$G, "B")</f>
        <v>0</v>
      </c>
      <c r="P21" s="23">
        <f>COUNTIFS(STUDENTDATA!$A:$A, "5", STUDENTDATA!$F:$F, "OBC", STUDENTDATA!$E:$E, "M", STUDENTDATA!$G:$G, "C")</f>
        <v>0</v>
      </c>
      <c r="Q21" s="23">
        <f>COUNTIFS(STUDENTDATA!$A:$A, "5", STUDENTDATA!$F:$F, "OBC", STUDENTDATA!$E:$E, "M", STUDENTDATA!$G:$G, "D")</f>
        <v>0</v>
      </c>
      <c r="R21" s="23">
        <f>COUNTIFS(STUDENTDATA!$A:$A, "5", STUDENTDATA!$F:$F, "OBC", STUDENTDATA!$E:$E, "M", STUDENTDATA!$G:$G, "E")</f>
        <v>0</v>
      </c>
      <c r="S21" s="23">
        <f t="shared" si="21"/>
        <v>0</v>
      </c>
      <c r="T21" s="23">
        <f>COUNTIFS(STUDENTDATA!$A:$A, "5", STUDENTDATA!$F:$F, "SBC", STUDENTDATA!$E:$E, "M", STUDENTDATA!$G:$G, "A")</f>
        <v>0</v>
      </c>
      <c r="U21" s="23">
        <f>COUNTIFS(STUDENTDATA!$A:$A, "5", STUDENTDATA!$F:$F, "SBC", STUDENTDATA!$E:$E, "M", STUDENTDATA!$G:$G, "B")</f>
        <v>0</v>
      </c>
      <c r="V21" s="23">
        <f>COUNTIFS(STUDENTDATA!$A:$A, "5", STUDENTDATA!$F:$F, "SBC", STUDENTDATA!$E:$E, "M", STUDENTDATA!$G:$G, "C")</f>
        <v>0</v>
      </c>
      <c r="W21" s="23">
        <f>COUNTIFS(STUDENTDATA!$A:$A, "5", STUDENTDATA!$F:$F, "SBC", STUDENTDATA!$E:$E, "M", STUDENTDATA!$G:$G, "D")</f>
        <v>0</v>
      </c>
      <c r="X21" s="23">
        <f>COUNTIFS(STUDENTDATA!$A:$A, "5", STUDENTDATA!$F:$F, "SBC", STUDENTDATA!$E:$E, "M", STUDENTDATA!$G:$G, "E")</f>
        <v>0</v>
      </c>
      <c r="Y21" s="23">
        <f t="shared" si="22"/>
        <v>0</v>
      </c>
      <c r="Z21" s="23">
        <f>COUNTIFS(STUDENTDATA!$A:$A, "5", STUDENTDATA!$F:$F, "GEN", STUDENTDATA!$E:$E, "M", STUDENTDATA!$G:$G, "A")</f>
        <v>0</v>
      </c>
      <c r="AA21" s="23">
        <f>COUNTIFS(STUDENTDATA!$A:$A, "5", STUDENTDATA!$F:$F, "GEN", STUDENTDATA!$E:$E, "M", STUDENTDATA!$G:$G, "B")</f>
        <v>0</v>
      </c>
      <c r="AB21" s="23">
        <f>COUNTIFS(STUDENTDATA!$A:$A, "5", STUDENTDATA!$F:$F, "GEN", STUDENTDATA!$E:$E, "M", STUDENTDATA!$G:$G, "C")</f>
        <v>0</v>
      </c>
      <c r="AC21" s="23">
        <f>COUNTIFS(STUDENTDATA!$A:$A, "5", STUDENTDATA!$F:$F, "GEN", STUDENTDATA!$E:$E, "M", STUDENTDATA!$G:$G, "D")</f>
        <v>0</v>
      </c>
      <c r="AD21" s="23">
        <f>COUNTIFS(STUDENTDATA!$A:$A, "5", STUDENTDATA!$F:$F, "GEN", STUDENTDATA!$E:$E, "M", STUDENTDATA!$G:$G, "E")</f>
        <v>0</v>
      </c>
      <c r="AE21" s="23">
        <f t="shared" si="23"/>
        <v>0</v>
      </c>
      <c r="AF21" s="23">
        <f>COUNTIFS(STUDENTDATA!$A:$A, "5", STUDENTDATA!$F:$F, "MIN", STUDENTDATA!$E:$E, "M", STUDENTDATA!$G:$G, "A")</f>
        <v>0</v>
      </c>
      <c r="AG21" s="23">
        <f>COUNTIFS(STUDENTDATA!$A:$A, "5", STUDENTDATA!$F:$F, "MIN", STUDENTDATA!$E:$E, "M", STUDENTDATA!$G:$G, "B")</f>
        <v>0</v>
      </c>
      <c r="AH21" s="23">
        <f>COUNTIFS(STUDENTDATA!$A:$A, "5", STUDENTDATA!$F:$F, "MIN", STUDENTDATA!$E:$E, "M", STUDENTDATA!$G:$G, "C")</f>
        <v>0</v>
      </c>
      <c r="AI21" s="23">
        <f>COUNTIFS(STUDENTDATA!$A:$A, "5", STUDENTDATA!$F:$F, "MIN", STUDENTDATA!$E:$E, "M", STUDENTDATA!$G:$G, "D")</f>
        <v>0</v>
      </c>
      <c r="AJ21" s="23">
        <f>COUNTIFS(STUDENTDATA!$A:$A, "5", STUDENTDATA!$F:$F, "MIN", STUDENTDATA!$E:$E, "M", STUDENTDATA!$G:$G, "E")</f>
        <v>0</v>
      </c>
      <c r="AK21" s="23">
        <f t="shared" si="24"/>
        <v>0</v>
      </c>
    </row>
    <row r="24" spans="1:37" ht="23.25" x14ac:dyDescent="0.25">
      <c r="A24" s="102" t="s">
        <v>1388</v>
      </c>
      <c r="B24" s="103" t="s">
        <v>1386</v>
      </c>
      <c r="C24" s="104"/>
      <c r="D24" s="104"/>
      <c r="E24" s="104"/>
      <c r="F24" s="104"/>
      <c r="G24" s="104"/>
      <c r="H24" s="104"/>
      <c r="I24" s="104"/>
      <c r="J24" s="104"/>
      <c r="K24" s="104"/>
      <c r="L24" s="104"/>
      <c r="M24" s="104"/>
      <c r="N24" s="104"/>
      <c r="O24" s="104"/>
      <c r="P24" s="104"/>
      <c r="Q24" s="104"/>
      <c r="R24" s="104"/>
      <c r="S24" s="104"/>
      <c r="T24" s="104"/>
      <c r="U24" s="104"/>
      <c r="V24" s="104"/>
      <c r="W24" s="104"/>
      <c r="X24" s="104"/>
      <c r="Y24" s="104"/>
      <c r="Z24" s="104"/>
      <c r="AA24" s="104"/>
      <c r="AB24" s="104"/>
      <c r="AC24" s="104"/>
      <c r="AD24" s="104"/>
      <c r="AE24" s="104"/>
      <c r="AF24" s="104"/>
      <c r="AG24" s="104"/>
      <c r="AH24" s="104"/>
      <c r="AI24" s="104"/>
      <c r="AJ24" s="104"/>
      <c r="AK24" s="104"/>
    </row>
    <row r="25" spans="1:37" ht="25.5" customHeight="1" x14ac:dyDescent="0.25">
      <c r="A25" s="102"/>
      <c r="B25" s="82" t="s">
        <v>4</v>
      </c>
      <c r="C25" s="82"/>
      <c r="D25" s="82"/>
      <c r="E25" s="82"/>
      <c r="F25" s="82"/>
      <c r="G25" s="82"/>
      <c r="H25" s="82" t="s">
        <v>5</v>
      </c>
      <c r="I25" s="82"/>
      <c r="J25" s="82"/>
      <c r="K25" s="82"/>
      <c r="L25" s="82"/>
      <c r="M25" s="82"/>
      <c r="N25" s="82" t="s">
        <v>6</v>
      </c>
      <c r="O25" s="82"/>
      <c r="P25" s="82"/>
      <c r="Q25" s="82"/>
      <c r="R25" s="82"/>
      <c r="S25" s="82"/>
      <c r="T25" s="82" t="s">
        <v>7</v>
      </c>
      <c r="U25" s="82"/>
      <c r="V25" s="82"/>
      <c r="W25" s="82"/>
      <c r="X25" s="82"/>
      <c r="Y25" s="82"/>
      <c r="Z25" s="82" t="s">
        <v>8</v>
      </c>
      <c r="AA25" s="82"/>
      <c r="AB25" s="82"/>
      <c r="AC25" s="82"/>
      <c r="AD25" s="82"/>
      <c r="AE25" s="82"/>
      <c r="AF25" s="82" t="s">
        <v>9</v>
      </c>
      <c r="AG25" s="82"/>
      <c r="AH25" s="82"/>
      <c r="AI25" s="105"/>
      <c r="AJ25" s="105"/>
      <c r="AK25" s="105"/>
    </row>
    <row r="26" spans="1:37" s="17" customFormat="1" ht="30" customHeight="1" x14ac:dyDescent="0.25">
      <c r="A26" s="102"/>
      <c r="B26" s="18" t="s">
        <v>49</v>
      </c>
      <c r="C26" s="18" t="s">
        <v>10</v>
      </c>
      <c r="D26" s="18" t="s">
        <v>1376</v>
      </c>
      <c r="E26" s="18" t="s">
        <v>1377</v>
      </c>
      <c r="F26" s="18" t="s">
        <v>1378</v>
      </c>
      <c r="G26" s="26" t="s">
        <v>3</v>
      </c>
      <c r="H26" s="18" t="s">
        <v>49</v>
      </c>
      <c r="I26" s="18" t="s">
        <v>10</v>
      </c>
      <c r="J26" s="18" t="s">
        <v>1376</v>
      </c>
      <c r="K26" s="18" t="s">
        <v>1377</v>
      </c>
      <c r="L26" s="18" t="s">
        <v>1378</v>
      </c>
      <c r="M26" s="26" t="s">
        <v>3</v>
      </c>
      <c r="N26" s="18" t="s">
        <v>49</v>
      </c>
      <c r="O26" s="18" t="s">
        <v>10</v>
      </c>
      <c r="P26" s="18" t="s">
        <v>1376</v>
      </c>
      <c r="Q26" s="18" t="s">
        <v>1377</v>
      </c>
      <c r="R26" s="18" t="s">
        <v>1378</v>
      </c>
      <c r="S26" s="26" t="s">
        <v>3</v>
      </c>
      <c r="T26" s="18" t="s">
        <v>49</v>
      </c>
      <c r="U26" s="18" t="s">
        <v>10</v>
      </c>
      <c r="V26" s="18" t="s">
        <v>1376</v>
      </c>
      <c r="W26" s="18" t="s">
        <v>1377</v>
      </c>
      <c r="X26" s="18" t="s">
        <v>1378</v>
      </c>
      <c r="Y26" s="26" t="s">
        <v>3</v>
      </c>
      <c r="Z26" s="18" t="s">
        <v>49</v>
      </c>
      <c r="AA26" s="18" t="s">
        <v>10</v>
      </c>
      <c r="AB26" s="18" t="s">
        <v>1376</v>
      </c>
      <c r="AC26" s="18" t="s">
        <v>1377</v>
      </c>
      <c r="AD26" s="18" t="s">
        <v>1378</v>
      </c>
      <c r="AE26" s="26" t="s">
        <v>3</v>
      </c>
      <c r="AF26" s="18" t="s">
        <v>49</v>
      </c>
      <c r="AG26" s="18" t="s">
        <v>10</v>
      </c>
      <c r="AH26" s="18" t="s">
        <v>1376</v>
      </c>
      <c r="AI26" s="18" t="s">
        <v>1377</v>
      </c>
      <c r="AJ26" s="18" t="s">
        <v>1378</v>
      </c>
      <c r="AK26" s="26" t="s">
        <v>3</v>
      </c>
    </row>
    <row r="27" spans="1:37" s="19" customFormat="1" ht="38.25" customHeight="1" x14ac:dyDescent="0.25">
      <c r="A27" s="23">
        <v>1</v>
      </c>
      <c r="B27" s="23">
        <f>COUNTIFS(STUDENTDATA!$A:$A, "1", STUDENTDATA!$F:$F, "SC", STUDENTDATA!$E:$E, "F", STUDENTDATA!$G:$G, "A")</f>
        <v>0</v>
      </c>
      <c r="C27" s="23">
        <f>COUNTIFS(STUDENTDATA!$A:$A, "1", STUDENTDATA!$F:$F, "SC", STUDENTDATA!$E:$E, "F", STUDENTDATA!$G:$G, "B")</f>
        <v>0</v>
      </c>
      <c r="D27" s="23">
        <f>COUNTIFS(STUDENTDATA!$A:$A, "1", STUDENTDATA!$F:$F, "SC", STUDENTDATA!$E:$E, "F", STUDENTDATA!$G:$G, "C")</f>
        <v>0</v>
      </c>
      <c r="E27" s="23">
        <f>COUNTIFS(STUDENTDATA!$A:$A, "1", STUDENTDATA!$F:$F, "SC", STUDENTDATA!$E:$E, "F", STUDENTDATA!$G:$G, "D")</f>
        <v>0</v>
      </c>
      <c r="F27" s="23">
        <f>COUNTIFS(STUDENTDATA!$A:$A, "1", STUDENTDATA!$F:$F, "SC", STUDENTDATA!$E:$E, "F", STUDENTDATA!$G:$G, "E")</f>
        <v>0</v>
      </c>
      <c r="G27" s="23">
        <f>B27+C27+D27+E27+F27</f>
        <v>0</v>
      </c>
      <c r="H27" s="23">
        <f>COUNTIFS(STUDENTDATA!$A:$A, "1", STUDENTDATA!$F:$F, "ST", STUDENTDATA!$E:$E, "F", STUDENTDATA!$G:$G, "A")</f>
        <v>0</v>
      </c>
      <c r="I27" s="23">
        <f>COUNTIFS(STUDENTDATA!$A:$A, "1", STUDENTDATA!$F:$F, "ST", STUDENTDATA!$E:$E, "F", STUDENTDATA!$G:$G, "B")</f>
        <v>0</v>
      </c>
      <c r="J27" s="23">
        <f>COUNTIFS(STUDENTDATA!$A:$A, "1", STUDENTDATA!$F:$F, "ST", STUDENTDATA!$E:$E, "F", STUDENTDATA!$G:$G, "C")</f>
        <v>0</v>
      </c>
      <c r="K27" s="23">
        <f>COUNTIFS(STUDENTDATA!$A:$A, "1", STUDENTDATA!$F:$F, "ST", STUDENTDATA!$E:$E, "F", STUDENTDATA!$G:$G, "D")</f>
        <v>0</v>
      </c>
      <c r="L27" s="23">
        <f>COUNTIFS(STUDENTDATA!$A:$A, "1", STUDENTDATA!$F:$F, "ST", STUDENTDATA!$E:$E, "F", STUDENTDATA!$G:$G, "E")</f>
        <v>0</v>
      </c>
      <c r="M27" s="23">
        <f t="shared" ref="M27" si="25">H27+I27+J27+K27+L27</f>
        <v>0</v>
      </c>
      <c r="N27" s="23">
        <f>COUNTIFS(STUDENTDATA!$A:$A, "1", STUDENTDATA!$F:$F, "OBC", STUDENTDATA!$E:$E, "F", STUDENTDATA!$G:$G, "A")</f>
        <v>0</v>
      </c>
      <c r="O27" s="23">
        <f>COUNTIFS(STUDENTDATA!$A:$A, "1", STUDENTDATA!$F:$F, "OBC", STUDENTDATA!$E:$E, "F", STUDENTDATA!$G:$G, "B")</f>
        <v>0</v>
      </c>
      <c r="P27" s="23">
        <f>COUNTIFS(STUDENTDATA!$A:$A, "1", STUDENTDATA!$F:$F, "OBC", STUDENTDATA!$E:$E, "F", STUDENTDATA!$G:$G, "C")</f>
        <v>0</v>
      </c>
      <c r="Q27" s="23">
        <f>COUNTIFS(STUDENTDATA!$A:$A, "1", STUDENTDATA!$F:$F, "OBC", STUDENTDATA!$E:$E, "F", STUDENTDATA!$G:$G, "D")</f>
        <v>0</v>
      </c>
      <c r="R27" s="23">
        <f>COUNTIFS(STUDENTDATA!$A:$A, "1", STUDENTDATA!$F:$F, "OBC", STUDENTDATA!$E:$E, "F", STUDENTDATA!$G:$G, "E")</f>
        <v>0</v>
      </c>
      <c r="S27" s="23">
        <f t="shared" ref="S27" si="26">N27+O27+P27+Q27+R27</f>
        <v>0</v>
      </c>
      <c r="T27" s="23">
        <f>COUNTIFS(STUDENTDATA!$A:$A, "1", STUDENTDATA!$F:$F, "SBC", STUDENTDATA!$E:$E, "F", STUDENTDATA!$G:$G, "A")</f>
        <v>0</v>
      </c>
      <c r="U27" s="23">
        <f>COUNTIFS(STUDENTDATA!$A:$A, "1", STUDENTDATA!$F:$F, "SBC", STUDENTDATA!$E:$E, "F", STUDENTDATA!$G:$G, "B")</f>
        <v>0</v>
      </c>
      <c r="V27" s="23">
        <f>COUNTIFS(STUDENTDATA!$A:$A, "1", STUDENTDATA!$F:$F, "SBC", STUDENTDATA!$E:$E, "F", STUDENTDATA!$G:$G, "C")</f>
        <v>0</v>
      </c>
      <c r="W27" s="23">
        <f>COUNTIFS(STUDENTDATA!$A:$A, "1", STUDENTDATA!$F:$F, "SBC", STUDENTDATA!$E:$E, "F", STUDENTDATA!$G:$G, "D")</f>
        <v>0</v>
      </c>
      <c r="X27" s="23">
        <f>COUNTIFS(STUDENTDATA!$A:$A, "1", STUDENTDATA!$F:$F, "SBC", STUDENTDATA!$E:$E, "F", STUDENTDATA!$G:$G, "E")</f>
        <v>0</v>
      </c>
      <c r="Y27" s="23">
        <f t="shared" ref="Y27" si="27">T27+U27+V27+W27+X27</f>
        <v>0</v>
      </c>
      <c r="Z27" s="23">
        <f>COUNTIFS(STUDENTDATA!$A:$A, "1", STUDENTDATA!$F:$F, "GEN", STUDENTDATA!$E:$E, "F", STUDENTDATA!$G:$G, "A")</f>
        <v>0</v>
      </c>
      <c r="AA27" s="23">
        <f>COUNTIFS(STUDENTDATA!$A:$A, "1", STUDENTDATA!$F:$F, "GEN", STUDENTDATA!$E:$E, "F", STUDENTDATA!$G:$G, "B")</f>
        <v>0</v>
      </c>
      <c r="AB27" s="23">
        <f>COUNTIFS(STUDENTDATA!$A:$A, "1", STUDENTDATA!$F:$F, "GEN", STUDENTDATA!$E:$E, "F", STUDENTDATA!$G:$G, "C")</f>
        <v>0</v>
      </c>
      <c r="AC27" s="23">
        <f>COUNTIFS(STUDENTDATA!$A:$A, "1", STUDENTDATA!$F:$F, "GEN", STUDENTDATA!$E:$E, "F", STUDENTDATA!$G:$G, "D")</f>
        <v>0</v>
      </c>
      <c r="AD27" s="23">
        <f>COUNTIFS(STUDENTDATA!$A:$A, "1", STUDENTDATA!$F:$F, "GEN", STUDENTDATA!$E:$E, "F", STUDENTDATA!$G:$G, "E")</f>
        <v>0</v>
      </c>
      <c r="AE27" s="23">
        <f t="shared" ref="AE27" si="28">Z27+AA27+AB27+AC27+AD27</f>
        <v>0</v>
      </c>
      <c r="AF27" s="23">
        <f>COUNTIFS(STUDENTDATA!$A:$A, "1", STUDENTDATA!$F:$F, "MIN", STUDENTDATA!$E:$E, "F", STUDENTDATA!$G:$G, "A")</f>
        <v>0</v>
      </c>
      <c r="AG27" s="23">
        <f>COUNTIFS(STUDENTDATA!$A:$A, "1", STUDENTDATA!$F:$F, "MIN", STUDENTDATA!$E:$E, "F", STUDENTDATA!$G:$G, "B")</f>
        <v>0</v>
      </c>
      <c r="AH27" s="23">
        <f>COUNTIFS(STUDENTDATA!$A:$A, "1", STUDENTDATA!$F:$F, "MIN", STUDENTDATA!$E:$E, "F", STUDENTDATA!$G:$G, "C")</f>
        <v>0</v>
      </c>
      <c r="AI27" s="23">
        <f>COUNTIFS(STUDENTDATA!$A:$A, "1", STUDENTDATA!$F:$F, "MIN", STUDENTDATA!$E:$E, "F", STUDENTDATA!$G:$G, "D")</f>
        <v>0</v>
      </c>
      <c r="AJ27" s="23">
        <f>COUNTIFS(STUDENTDATA!$A:$A, "1", STUDENTDATA!$F:$F, "MIN", STUDENTDATA!$E:$E, "F", STUDENTDATA!$G:$G, "E")</f>
        <v>0</v>
      </c>
      <c r="AK27" s="23">
        <f t="shared" ref="AK27" si="29">AF27+AG27+AH27+AI27+AJ27</f>
        <v>0</v>
      </c>
    </row>
    <row r="28" spans="1:37" s="19" customFormat="1" ht="38.25" customHeight="1" x14ac:dyDescent="0.25">
      <c r="A28" s="23">
        <v>2</v>
      </c>
      <c r="B28" s="23">
        <f>COUNTIFS(STUDENTDATA!$A:$A, "2", STUDENTDATA!$F:$F, "SC", STUDENTDATA!$E:$E, "F", STUDENTDATA!$G:$G, "A")</f>
        <v>0</v>
      </c>
      <c r="C28" s="23">
        <f>COUNTIFS(STUDENTDATA!$A:$A, "2", STUDENTDATA!$F:$F, "SC", STUDENTDATA!$E:$E, "F", STUDENTDATA!$G:$G, "B")</f>
        <v>0</v>
      </c>
      <c r="D28" s="23">
        <f>COUNTIFS(STUDENTDATA!$A:$A, "2", STUDENTDATA!$F:$F, "SC", STUDENTDATA!$E:$E, "F", STUDENTDATA!$G:$G, "C")</f>
        <v>0</v>
      </c>
      <c r="E28" s="23">
        <f>COUNTIFS(STUDENTDATA!$A:$A, "2", STUDENTDATA!$F:$F, "SC", STUDENTDATA!$E:$E, "F", STUDENTDATA!$G:$G, "D")</f>
        <v>0</v>
      </c>
      <c r="F28" s="23">
        <f>COUNTIFS(STUDENTDATA!$A:$A, "2", STUDENTDATA!$F:$F, "SC", STUDENTDATA!$E:$E, "F", STUDENTDATA!$G:$G, "E")</f>
        <v>0</v>
      </c>
      <c r="G28" s="23">
        <f t="shared" ref="G28:G31" si="30">B28+C28+D28+E28+F28</f>
        <v>0</v>
      </c>
      <c r="H28" s="23">
        <f>COUNTIFS(STUDENTDATA!$A:$A, "2", STUDENTDATA!$F:$F, "ST", STUDENTDATA!$E:$E, "F", STUDENTDATA!$G:$G, "A")</f>
        <v>0</v>
      </c>
      <c r="I28" s="23">
        <f>COUNTIFS(STUDENTDATA!$A:$A, "2", STUDENTDATA!$F:$F, "ST", STUDENTDATA!$E:$E, "F", STUDENTDATA!$G:$G, "B")</f>
        <v>0</v>
      </c>
      <c r="J28" s="23">
        <f>COUNTIFS(STUDENTDATA!$A:$A, "2", STUDENTDATA!$F:$F, "ST", STUDENTDATA!$E:$E, "F", STUDENTDATA!$G:$G, "C")</f>
        <v>0</v>
      </c>
      <c r="K28" s="23">
        <f>COUNTIFS(STUDENTDATA!$A:$A, "2", STUDENTDATA!$F:$F, "ST", STUDENTDATA!$E:$E, "F", STUDENTDATA!$G:$G, "D")</f>
        <v>0</v>
      </c>
      <c r="L28" s="23">
        <f>COUNTIFS(STUDENTDATA!$A:$A, "2", STUDENTDATA!$F:$F, "ST", STUDENTDATA!$E:$E, "F", STUDENTDATA!$G:$G, "E")</f>
        <v>0</v>
      </c>
      <c r="M28" s="23">
        <f t="shared" ref="M28:M31" si="31">H28+I28+J28+K28+L28</f>
        <v>0</v>
      </c>
      <c r="N28" s="23">
        <f>COUNTIFS(STUDENTDATA!$A:$A, "2", STUDENTDATA!$F:$F, "OBC", STUDENTDATA!$E:$E, "F", STUDENTDATA!$G:$G, "A")</f>
        <v>0</v>
      </c>
      <c r="O28" s="23">
        <f>COUNTIFS(STUDENTDATA!$A:$A, "2", STUDENTDATA!$F:$F, "OBC", STUDENTDATA!$E:$E, "F", STUDENTDATA!$G:$G, "B")</f>
        <v>0</v>
      </c>
      <c r="P28" s="23">
        <f>COUNTIFS(STUDENTDATA!$A:$A, "2", STUDENTDATA!$F:$F, "OBC", STUDENTDATA!$E:$E, "F", STUDENTDATA!$G:$G, "C")</f>
        <v>0</v>
      </c>
      <c r="Q28" s="23">
        <f>COUNTIFS(STUDENTDATA!$A:$A, "2", STUDENTDATA!$F:$F, "OBC", STUDENTDATA!$E:$E, "F", STUDENTDATA!$G:$G, "D")</f>
        <v>0</v>
      </c>
      <c r="R28" s="23">
        <f>COUNTIFS(STUDENTDATA!$A:$A, "2", STUDENTDATA!$F:$F, "OBC", STUDENTDATA!$E:$E, "F", STUDENTDATA!$G:$G, "E")</f>
        <v>0</v>
      </c>
      <c r="S28" s="23">
        <f t="shared" ref="S28:S31" si="32">N28+O28+P28+Q28+R28</f>
        <v>0</v>
      </c>
      <c r="T28" s="23">
        <f>COUNTIFS(STUDENTDATA!$A:$A, "2", STUDENTDATA!$F:$F, "SBC", STUDENTDATA!$E:$E, "F", STUDENTDATA!$G:$G, "A")</f>
        <v>0</v>
      </c>
      <c r="U28" s="23">
        <f>COUNTIFS(STUDENTDATA!$A:$A, "2", STUDENTDATA!$F:$F, "SBC", STUDENTDATA!$E:$E, "F", STUDENTDATA!$G:$G, "B")</f>
        <v>0</v>
      </c>
      <c r="V28" s="23">
        <f>COUNTIFS(STUDENTDATA!$A:$A, "2", STUDENTDATA!$F:$F, "SBC", STUDENTDATA!$E:$E, "F", STUDENTDATA!$G:$G, "C")</f>
        <v>0</v>
      </c>
      <c r="W28" s="23">
        <f>COUNTIFS(STUDENTDATA!$A:$A, "2", STUDENTDATA!$F:$F, "SBC", STUDENTDATA!$E:$E, "F", STUDENTDATA!$G:$G, "D")</f>
        <v>0</v>
      </c>
      <c r="X28" s="23">
        <f>COUNTIFS(STUDENTDATA!$A:$A, "2", STUDENTDATA!$F:$F, "SBC", STUDENTDATA!$E:$E, "F", STUDENTDATA!$G:$G, "E")</f>
        <v>0</v>
      </c>
      <c r="Y28" s="23">
        <f t="shared" ref="Y28:Y31" si="33">T28+U28+V28+W28+X28</f>
        <v>0</v>
      </c>
      <c r="Z28" s="23">
        <f>COUNTIFS(STUDENTDATA!$A:$A, "2", STUDENTDATA!$F:$F, "GEN", STUDENTDATA!$E:$E, "F", STUDENTDATA!$G:$G, "A")</f>
        <v>0</v>
      </c>
      <c r="AA28" s="23">
        <f>COUNTIFS(STUDENTDATA!$A:$A, "2", STUDENTDATA!$F:$F, "GEN", STUDENTDATA!$E:$E, "F", STUDENTDATA!$G:$G, "B")</f>
        <v>0</v>
      </c>
      <c r="AB28" s="23">
        <f>COUNTIFS(STUDENTDATA!$A:$A, "2", STUDENTDATA!$F:$F, "GEN", STUDENTDATA!$E:$E, "F", STUDENTDATA!$G:$G, "C")</f>
        <v>0</v>
      </c>
      <c r="AC28" s="23">
        <f>COUNTIFS(STUDENTDATA!$A:$A, "2", STUDENTDATA!$F:$F, "GEN", STUDENTDATA!$E:$E, "F", STUDENTDATA!$G:$G, "D")</f>
        <v>0</v>
      </c>
      <c r="AD28" s="23">
        <f>COUNTIFS(STUDENTDATA!$A:$A, "2", STUDENTDATA!$F:$F, "GEN", STUDENTDATA!$E:$E, "F", STUDENTDATA!$G:$G, "E")</f>
        <v>0</v>
      </c>
      <c r="AE28" s="23">
        <f t="shared" ref="AE28:AE31" si="34">Z28+AA28+AB28+AC28+AD28</f>
        <v>0</v>
      </c>
      <c r="AF28" s="23">
        <f>COUNTIFS(STUDENTDATA!$A:$A, "2", STUDENTDATA!$F:$F, "MIN", STUDENTDATA!$E:$E, "F", STUDENTDATA!$G:$G, "A")</f>
        <v>0</v>
      </c>
      <c r="AG28" s="23">
        <f>COUNTIFS(STUDENTDATA!$A:$A, "2", STUDENTDATA!$F:$F, "MIN", STUDENTDATA!$E:$E, "F", STUDENTDATA!$G:$G, "B")</f>
        <v>0</v>
      </c>
      <c r="AH28" s="23">
        <f>COUNTIFS(STUDENTDATA!$A:$A, "2", STUDENTDATA!$F:$F, "MIN", STUDENTDATA!$E:$E, "F", STUDENTDATA!$G:$G, "C")</f>
        <v>0</v>
      </c>
      <c r="AI28" s="23">
        <f>COUNTIFS(STUDENTDATA!$A:$A, "2", STUDENTDATA!$F:$F, "MIN", STUDENTDATA!$E:$E, "F", STUDENTDATA!$G:$G, "D")</f>
        <v>0</v>
      </c>
      <c r="AJ28" s="23">
        <f>COUNTIFS(STUDENTDATA!$A:$A, "2", STUDENTDATA!$F:$F, "MIN", STUDENTDATA!$E:$E, "F", STUDENTDATA!$G:$G, "E")</f>
        <v>0</v>
      </c>
      <c r="AK28" s="23">
        <f t="shared" ref="AK28:AK31" si="35">AF28+AG28+AH28+AI28+AJ28</f>
        <v>0</v>
      </c>
    </row>
    <row r="29" spans="1:37" s="19" customFormat="1" ht="38.25" customHeight="1" x14ac:dyDescent="0.25">
      <c r="A29" s="23">
        <v>3</v>
      </c>
      <c r="B29" s="23">
        <f>COUNTIFS(STUDENTDATA!$A:$A, "3", STUDENTDATA!$F:$F, "SC", STUDENTDATA!$E:$E, "F", STUDENTDATA!$G:$G, "A")</f>
        <v>0</v>
      </c>
      <c r="C29" s="23">
        <f>COUNTIFS(STUDENTDATA!$A:$A, "3", STUDENTDATA!$F:$F, "SC", STUDENTDATA!$E:$E, "F", STUDENTDATA!$G:$G, "B")</f>
        <v>0</v>
      </c>
      <c r="D29" s="23">
        <f>COUNTIFS(STUDENTDATA!$A:$A, "3", STUDENTDATA!$F:$F, "SC", STUDENTDATA!$E:$E, "F", STUDENTDATA!$G:$G, "C")</f>
        <v>0</v>
      </c>
      <c r="E29" s="23">
        <f>COUNTIFS(STUDENTDATA!$A:$A, "3", STUDENTDATA!$F:$F, "SC", STUDENTDATA!$E:$E, "F", STUDENTDATA!$G:$G, "D")</f>
        <v>0</v>
      </c>
      <c r="F29" s="23">
        <f>COUNTIFS(STUDENTDATA!$A:$A, "3", STUDENTDATA!$F:$F, "SC", STUDENTDATA!$E:$E, "F", STUDENTDATA!$G:$G, "E")</f>
        <v>0</v>
      </c>
      <c r="G29" s="23">
        <f t="shared" si="30"/>
        <v>0</v>
      </c>
      <c r="H29" s="23">
        <f>COUNTIFS(STUDENTDATA!$A:$A, "3", STUDENTDATA!$F:$F, "ST", STUDENTDATA!$E:$E, "F", STUDENTDATA!$G:$G, "A")</f>
        <v>0</v>
      </c>
      <c r="I29" s="23">
        <f>COUNTIFS(STUDENTDATA!$A:$A, "3", STUDENTDATA!$F:$F, "ST", STUDENTDATA!$E:$E, "F", STUDENTDATA!$G:$G, "B")</f>
        <v>0</v>
      </c>
      <c r="J29" s="23">
        <f>COUNTIFS(STUDENTDATA!$A:$A, "3", STUDENTDATA!$F:$F, "ST", STUDENTDATA!$E:$E, "F", STUDENTDATA!$G:$G, "C")</f>
        <v>0</v>
      </c>
      <c r="K29" s="23">
        <f>COUNTIFS(STUDENTDATA!$A:$A, "3", STUDENTDATA!$F:$F, "ST", STUDENTDATA!$E:$E, "F", STUDENTDATA!$G:$G, "D")</f>
        <v>0</v>
      </c>
      <c r="L29" s="23">
        <f>COUNTIFS(STUDENTDATA!$A:$A, "3", STUDENTDATA!$F:$F, "ST", STUDENTDATA!$E:$E, "F", STUDENTDATA!$G:$G, "E")</f>
        <v>0</v>
      </c>
      <c r="M29" s="23">
        <f t="shared" si="31"/>
        <v>0</v>
      </c>
      <c r="N29" s="23">
        <f>COUNTIFS(STUDENTDATA!$A:$A, "3", STUDENTDATA!$F:$F, "OBC", STUDENTDATA!$E:$E, "F", STUDENTDATA!$G:$G, "A")</f>
        <v>0</v>
      </c>
      <c r="O29" s="23">
        <f>COUNTIFS(STUDENTDATA!$A:$A, "3", STUDENTDATA!$F:$F, "OBC", STUDENTDATA!$E:$E, "F", STUDENTDATA!$G:$G, "B")</f>
        <v>0</v>
      </c>
      <c r="P29" s="23">
        <f>COUNTIFS(STUDENTDATA!$A:$A, "3", STUDENTDATA!$F:$F, "OBC", STUDENTDATA!$E:$E, "F", STUDENTDATA!$G:$G, "C")</f>
        <v>0</v>
      </c>
      <c r="Q29" s="23">
        <f>COUNTIFS(STUDENTDATA!$A:$A, "3", STUDENTDATA!$F:$F, "OBC", STUDENTDATA!$E:$E, "F", STUDENTDATA!$G:$G, "D")</f>
        <v>0</v>
      </c>
      <c r="R29" s="23">
        <f>COUNTIFS(STUDENTDATA!$A:$A, "3", STUDENTDATA!$F:$F, "OBC", STUDENTDATA!$E:$E, "F", STUDENTDATA!$G:$G, "E")</f>
        <v>0</v>
      </c>
      <c r="S29" s="23">
        <f t="shared" si="32"/>
        <v>0</v>
      </c>
      <c r="T29" s="23">
        <f>COUNTIFS(STUDENTDATA!$A:$A, "3", STUDENTDATA!$F:$F, "SBC", STUDENTDATA!$E:$E, "F", STUDENTDATA!$G:$G, "A")</f>
        <v>0</v>
      </c>
      <c r="U29" s="23">
        <f>COUNTIFS(STUDENTDATA!$A:$A, "3", STUDENTDATA!$F:$F, "SBC", STUDENTDATA!$E:$E, "F", STUDENTDATA!$G:$G, "B")</f>
        <v>0</v>
      </c>
      <c r="V29" s="23">
        <f>COUNTIFS(STUDENTDATA!$A:$A, "3", STUDENTDATA!$F:$F, "SBC", STUDENTDATA!$E:$E, "F", STUDENTDATA!$G:$G, "C")</f>
        <v>0</v>
      </c>
      <c r="W29" s="23">
        <f>COUNTIFS(STUDENTDATA!$A:$A, "3", STUDENTDATA!$F:$F, "SBC", STUDENTDATA!$E:$E, "F", STUDENTDATA!$G:$G, "D")</f>
        <v>0</v>
      </c>
      <c r="X29" s="23">
        <f>COUNTIFS(STUDENTDATA!$A:$A, "3", STUDENTDATA!$F:$F, "SBC", STUDENTDATA!$E:$E, "F", STUDENTDATA!$G:$G, "E")</f>
        <v>0</v>
      </c>
      <c r="Y29" s="23">
        <f t="shared" si="33"/>
        <v>0</v>
      </c>
      <c r="Z29" s="23">
        <f>COUNTIFS(STUDENTDATA!$A:$A, "3", STUDENTDATA!$F:$F, "GEN", STUDENTDATA!$E:$E, "F", STUDENTDATA!$G:$G, "A")</f>
        <v>0</v>
      </c>
      <c r="AA29" s="23">
        <f>COUNTIFS(STUDENTDATA!$A:$A, "3", STUDENTDATA!$F:$F, "GEN", STUDENTDATA!$E:$E, "F", STUDENTDATA!$G:$G, "B")</f>
        <v>0</v>
      </c>
      <c r="AB29" s="23">
        <f>COUNTIFS(STUDENTDATA!$A:$A, "3", STUDENTDATA!$F:$F, "GEN", STUDENTDATA!$E:$E, "F", STUDENTDATA!$G:$G, "C")</f>
        <v>0</v>
      </c>
      <c r="AC29" s="23">
        <f>COUNTIFS(STUDENTDATA!$A:$A, "3", STUDENTDATA!$F:$F, "GEN", STUDENTDATA!$E:$E, "F", STUDENTDATA!$G:$G, "D")</f>
        <v>0</v>
      </c>
      <c r="AD29" s="23">
        <f>COUNTIFS(STUDENTDATA!$A:$A, "3", STUDENTDATA!$F:$F, "GEN", STUDENTDATA!$E:$E, "F", STUDENTDATA!$G:$G, "E")</f>
        <v>0</v>
      </c>
      <c r="AE29" s="23">
        <f t="shared" si="34"/>
        <v>0</v>
      </c>
      <c r="AF29" s="23">
        <f>COUNTIFS(STUDENTDATA!$A:$A, "3", STUDENTDATA!$F:$F, "MIN", STUDENTDATA!$E:$E, "F", STUDENTDATA!$G:$G, "A")</f>
        <v>0</v>
      </c>
      <c r="AG29" s="23">
        <f>COUNTIFS(STUDENTDATA!$A:$A, "3", STUDENTDATA!$F:$F, "MIN", STUDENTDATA!$E:$E, "F", STUDENTDATA!$G:$G, "B")</f>
        <v>0</v>
      </c>
      <c r="AH29" s="23">
        <f>COUNTIFS(STUDENTDATA!$A:$A, "3", STUDENTDATA!$F:$F, "MIN", STUDENTDATA!$E:$E, "F", STUDENTDATA!$G:$G, "C")</f>
        <v>0</v>
      </c>
      <c r="AI29" s="23">
        <f>COUNTIFS(STUDENTDATA!$A:$A, "3", STUDENTDATA!$F:$F, "MIN", STUDENTDATA!$E:$E, "F", STUDENTDATA!$G:$G, "D")</f>
        <v>0</v>
      </c>
      <c r="AJ29" s="23">
        <f>COUNTIFS(STUDENTDATA!$A:$A, "3", STUDENTDATA!$F:$F, "MIN", STUDENTDATA!$E:$E, "F", STUDENTDATA!$G:$G, "E")</f>
        <v>0</v>
      </c>
      <c r="AK29" s="23">
        <f t="shared" si="35"/>
        <v>0</v>
      </c>
    </row>
    <row r="30" spans="1:37" s="19" customFormat="1" ht="38.25" customHeight="1" x14ac:dyDescent="0.25">
      <c r="A30" s="23">
        <v>4</v>
      </c>
      <c r="B30" s="23">
        <f>COUNTIFS(STUDENTDATA!$A:$A, "4", STUDENTDATA!$F:$F, "SC", STUDENTDATA!$E:$E, "F", STUDENTDATA!$G:$G, "A")</f>
        <v>0</v>
      </c>
      <c r="C30" s="23">
        <f>COUNTIFS(STUDENTDATA!$A:$A, "4", STUDENTDATA!$F:$F, "SC", STUDENTDATA!$E:$E, "F", STUDENTDATA!$G:$G, "B")</f>
        <v>0</v>
      </c>
      <c r="D30" s="23">
        <f>COUNTIFS(STUDENTDATA!$A:$A, "4", STUDENTDATA!$F:$F, "SC", STUDENTDATA!$E:$E, "F", STUDENTDATA!$G:$G, "C")</f>
        <v>0</v>
      </c>
      <c r="E30" s="23">
        <f>COUNTIFS(STUDENTDATA!$A:$A, "4", STUDENTDATA!$F:$F, "SC", STUDENTDATA!$E:$E, "F", STUDENTDATA!$G:$G, "D")</f>
        <v>0</v>
      </c>
      <c r="F30" s="23">
        <f>COUNTIFS(STUDENTDATA!$A:$A, "4", STUDENTDATA!$F:$F, "SC", STUDENTDATA!$E:$E, "F", STUDENTDATA!$G:$G, "E")</f>
        <v>0</v>
      </c>
      <c r="G30" s="23">
        <f t="shared" si="30"/>
        <v>0</v>
      </c>
      <c r="H30" s="23">
        <f>COUNTIFS(STUDENTDATA!$A:$A, "4", STUDENTDATA!$F:$F, "ST", STUDENTDATA!$E:$E, "F", STUDENTDATA!$G:$G, "A")</f>
        <v>0</v>
      </c>
      <c r="I30" s="23">
        <f>COUNTIFS(STUDENTDATA!$A:$A, "4", STUDENTDATA!$F:$F, "ST", STUDENTDATA!$E:$E, "F", STUDENTDATA!$G:$G, "B")</f>
        <v>0</v>
      </c>
      <c r="J30" s="23">
        <f>COUNTIFS(STUDENTDATA!$A:$A, "4", STUDENTDATA!$F:$F, "ST", STUDENTDATA!$E:$E, "F", STUDENTDATA!$G:$G, "C")</f>
        <v>0</v>
      </c>
      <c r="K30" s="23">
        <f>COUNTIFS(STUDENTDATA!$A:$A, "4", STUDENTDATA!$F:$F, "ST", STUDENTDATA!$E:$E, "F", STUDENTDATA!$G:$G, "D")</f>
        <v>0</v>
      </c>
      <c r="L30" s="23">
        <f>COUNTIFS(STUDENTDATA!$A:$A, "4", STUDENTDATA!$F:$F, "ST", STUDENTDATA!$E:$E, "F", STUDENTDATA!$G:$G, "E")</f>
        <v>0</v>
      </c>
      <c r="M30" s="23">
        <f t="shared" si="31"/>
        <v>0</v>
      </c>
      <c r="N30" s="23">
        <f>COUNTIFS(STUDENTDATA!$A:$A, "4", STUDENTDATA!$F:$F, "OBC", STUDENTDATA!$E:$E, "F", STUDENTDATA!$G:$G, "A")</f>
        <v>0</v>
      </c>
      <c r="O30" s="23">
        <f>COUNTIFS(STUDENTDATA!$A:$A, "4", STUDENTDATA!$F:$F, "OBC", STUDENTDATA!$E:$E, "F", STUDENTDATA!$G:$G, "B")</f>
        <v>0</v>
      </c>
      <c r="P30" s="23">
        <f>COUNTIFS(STUDENTDATA!$A:$A, "4", STUDENTDATA!$F:$F, "OBC", STUDENTDATA!$E:$E, "F", STUDENTDATA!$G:$G, "C")</f>
        <v>0</v>
      </c>
      <c r="Q30" s="23">
        <f>COUNTIFS(STUDENTDATA!$A:$A, "4", STUDENTDATA!$F:$F, "OBC", STUDENTDATA!$E:$E, "F", STUDENTDATA!$G:$G, "D")</f>
        <v>0</v>
      </c>
      <c r="R30" s="23">
        <f>COUNTIFS(STUDENTDATA!$A:$A, "4", STUDENTDATA!$F:$F, "OBC", STUDENTDATA!$E:$E, "F", STUDENTDATA!$G:$G, "E")</f>
        <v>0</v>
      </c>
      <c r="S30" s="23">
        <f t="shared" si="32"/>
        <v>0</v>
      </c>
      <c r="T30" s="23">
        <f>COUNTIFS(STUDENTDATA!$A:$A, "4", STUDENTDATA!$F:$F, "SBC", STUDENTDATA!$E:$E, "F", STUDENTDATA!$G:$G, "A")</f>
        <v>0</v>
      </c>
      <c r="U30" s="23">
        <f>COUNTIFS(STUDENTDATA!$A:$A, "4", STUDENTDATA!$F:$F, "SBC", STUDENTDATA!$E:$E, "F", STUDENTDATA!$G:$G, "B")</f>
        <v>0</v>
      </c>
      <c r="V30" s="23">
        <f>COUNTIFS(STUDENTDATA!$A:$A, "4", STUDENTDATA!$F:$F, "SBC", STUDENTDATA!$E:$E, "F", STUDENTDATA!$G:$G, "C")</f>
        <v>0</v>
      </c>
      <c r="W30" s="23">
        <f>COUNTIFS(STUDENTDATA!$A:$A, "4", STUDENTDATA!$F:$F, "SBC", STUDENTDATA!$E:$E, "F", STUDENTDATA!$G:$G, "D")</f>
        <v>0</v>
      </c>
      <c r="X30" s="23">
        <f>COUNTIFS(STUDENTDATA!$A:$A, "4", STUDENTDATA!$F:$F, "SBC", STUDENTDATA!$E:$E, "F", STUDENTDATA!$G:$G, "E")</f>
        <v>0</v>
      </c>
      <c r="Y30" s="23">
        <f t="shared" si="33"/>
        <v>0</v>
      </c>
      <c r="Z30" s="23">
        <f>COUNTIFS(STUDENTDATA!$A:$A, "4", STUDENTDATA!$F:$F, "GEN", STUDENTDATA!$E:$E, "F", STUDENTDATA!$G:$G, "A")</f>
        <v>0</v>
      </c>
      <c r="AA30" s="23">
        <f>COUNTIFS(STUDENTDATA!$A:$A, "4", STUDENTDATA!$F:$F, "GEN", STUDENTDATA!$E:$E, "F", STUDENTDATA!$G:$G, "B")</f>
        <v>0</v>
      </c>
      <c r="AB30" s="23">
        <f>COUNTIFS(STUDENTDATA!$A:$A, "4", STUDENTDATA!$F:$F, "GEN", STUDENTDATA!$E:$E, "F", STUDENTDATA!$G:$G, "C")</f>
        <v>0</v>
      </c>
      <c r="AC30" s="23">
        <f>COUNTIFS(STUDENTDATA!$A:$A, "4", STUDENTDATA!$F:$F, "GEN", STUDENTDATA!$E:$E, "F", STUDENTDATA!$G:$G, "D")</f>
        <v>0</v>
      </c>
      <c r="AD30" s="23">
        <f>COUNTIFS(STUDENTDATA!$A:$A, "4", STUDENTDATA!$F:$F, "GEN", STUDENTDATA!$E:$E, "F", STUDENTDATA!$G:$G, "E")</f>
        <v>0</v>
      </c>
      <c r="AE30" s="23">
        <f t="shared" si="34"/>
        <v>0</v>
      </c>
      <c r="AF30" s="23">
        <f>COUNTIFS(STUDENTDATA!$A:$A, "4", STUDENTDATA!$F:$F, "MIN", STUDENTDATA!$E:$E, "F", STUDENTDATA!$G:$G, "A")</f>
        <v>0</v>
      </c>
      <c r="AG30" s="23">
        <f>COUNTIFS(STUDENTDATA!$A:$A, "4", STUDENTDATA!$F:$F, "MIN", STUDENTDATA!$E:$E, "F", STUDENTDATA!$G:$G, "B")</f>
        <v>0</v>
      </c>
      <c r="AH30" s="23">
        <f>COUNTIFS(STUDENTDATA!$A:$A, "4", STUDENTDATA!$F:$F, "MIN", STUDENTDATA!$E:$E, "F", STUDENTDATA!$G:$G, "C")</f>
        <v>0</v>
      </c>
      <c r="AI30" s="23">
        <f>COUNTIFS(STUDENTDATA!$A:$A, "4", STUDENTDATA!$F:$F, "MIN", STUDENTDATA!$E:$E, "F", STUDENTDATA!$G:$G, "D")</f>
        <v>0</v>
      </c>
      <c r="AJ30" s="23">
        <f>COUNTIFS(STUDENTDATA!$A:$A, "4", STUDENTDATA!$F:$F, "MIN", STUDENTDATA!$E:$E, "F", STUDENTDATA!$G:$G, "E")</f>
        <v>0</v>
      </c>
      <c r="AK30" s="23">
        <f t="shared" si="35"/>
        <v>0</v>
      </c>
    </row>
    <row r="31" spans="1:37" s="19" customFormat="1" ht="38.25" customHeight="1" x14ac:dyDescent="0.25">
      <c r="A31" s="23">
        <v>5</v>
      </c>
      <c r="B31" s="23">
        <f>COUNTIFS(STUDENTDATA!$A:$A, "5", STUDENTDATA!$F:$F, "SC", STUDENTDATA!$E:$E, "F", STUDENTDATA!$G:$G, "A")</f>
        <v>0</v>
      </c>
      <c r="C31" s="23">
        <f>COUNTIFS(STUDENTDATA!$A:$A, "5", STUDENTDATA!$F:$F, "SC", STUDENTDATA!$E:$E, "F", STUDENTDATA!$G:$G, "B")</f>
        <v>0</v>
      </c>
      <c r="D31" s="23">
        <f>COUNTIFS(STUDENTDATA!$A:$A, "5", STUDENTDATA!$F:$F, "SC", STUDENTDATA!$E:$E, "F", STUDENTDATA!$G:$G, "C")</f>
        <v>0</v>
      </c>
      <c r="E31" s="23">
        <f>COUNTIFS(STUDENTDATA!$A:$A, "5", STUDENTDATA!$F:$F, "SC", STUDENTDATA!$E:$E, "F", STUDENTDATA!$G:$G, "D")</f>
        <v>0</v>
      </c>
      <c r="F31" s="23">
        <f>COUNTIFS(STUDENTDATA!$A:$A, "5", STUDENTDATA!$F:$F, "SC", STUDENTDATA!$E:$E, "F", STUDENTDATA!$G:$G, "E")</f>
        <v>0</v>
      </c>
      <c r="G31" s="23">
        <f t="shared" si="30"/>
        <v>0</v>
      </c>
      <c r="H31" s="23">
        <f>COUNTIFS(STUDENTDATA!$A:$A, "5", STUDENTDATA!$F:$F, "ST", STUDENTDATA!$E:$E, "F", STUDENTDATA!$G:$G, "A")</f>
        <v>0</v>
      </c>
      <c r="I31" s="23">
        <f>COUNTIFS(STUDENTDATA!$A:$A, "5", STUDENTDATA!$F:$F, "ST", STUDENTDATA!$E:$E, "F", STUDENTDATA!$G:$G, "B")</f>
        <v>0</v>
      </c>
      <c r="J31" s="23">
        <f>COUNTIFS(STUDENTDATA!$A:$A, "5", STUDENTDATA!$F:$F, "ST", STUDENTDATA!$E:$E, "F", STUDENTDATA!$G:$G, "C")</f>
        <v>0</v>
      </c>
      <c r="K31" s="23">
        <f>COUNTIFS(STUDENTDATA!$A:$A, "5", STUDENTDATA!$F:$F, "ST", STUDENTDATA!$E:$E, "F", STUDENTDATA!$G:$G, "D")</f>
        <v>0</v>
      </c>
      <c r="L31" s="23">
        <f>COUNTIFS(STUDENTDATA!$A:$A, "5", STUDENTDATA!$F:$F, "ST", STUDENTDATA!$E:$E, "F", STUDENTDATA!$G:$G, "E")</f>
        <v>0</v>
      </c>
      <c r="M31" s="23">
        <f t="shared" si="31"/>
        <v>0</v>
      </c>
      <c r="N31" s="23">
        <f>COUNTIFS(STUDENTDATA!$A:$A, "5", STUDENTDATA!$F:$F, "OBC", STUDENTDATA!$E:$E, "F", STUDENTDATA!$G:$G, "A")</f>
        <v>0</v>
      </c>
      <c r="O31" s="23">
        <f>COUNTIFS(STUDENTDATA!$A:$A, "5", STUDENTDATA!$F:$F, "OBC", STUDENTDATA!$E:$E, "F", STUDENTDATA!$G:$G, "B")</f>
        <v>0</v>
      </c>
      <c r="P31" s="23">
        <f>COUNTIFS(STUDENTDATA!$A:$A, "5", STUDENTDATA!$F:$F, "OBC", STUDENTDATA!$E:$E, "F", STUDENTDATA!$G:$G, "C")</f>
        <v>0</v>
      </c>
      <c r="Q31" s="23">
        <f>COUNTIFS(STUDENTDATA!$A:$A, "5", STUDENTDATA!$F:$F, "OBC", STUDENTDATA!$E:$E, "F", STUDENTDATA!$G:$G, "D")</f>
        <v>0</v>
      </c>
      <c r="R31" s="23">
        <f>COUNTIFS(STUDENTDATA!$A:$A, "5", STUDENTDATA!$F:$F, "OBC", STUDENTDATA!$E:$E, "F", STUDENTDATA!$G:$G, "E")</f>
        <v>0</v>
      </c>
      <c r="S31" s="23">
        <f t="shared" si="32"/>
        <v>0</v>
      </c>
      <c r="T31" s="23">
        <f>COUNTIFS(STUDENTDATA!$A:$A, "5", STUDENTDATA!$F:$F, "SBC", STUDENTDATA!$E:$E, "F", STUDENTDATA!$G:$G, "A")</f>
        <v>0</v>
      </c>
      <c r="U31" s="23">
        <f>COUNTIFS(STUDENTDATA!$A:$A, "5", STUDENTDATA!$F:$F, "SBC", STUDENTDATA!$E:$E, "F", STUDENTDATA!$G:$G, "B")</f>
        <v>0</v>
      </c>
      <c r="V31" s="23">
        <f>COUNTIFS(STUDENTDATA!$A:$A, "5", STUDENTDATA!$F:$F, "SBC", STUDENTDATA!$E:$E, "F", STUDENTDATA!$G:$G, "C")</f>
        <v>0</v>
      </c>
      <c r="W31" s="23">
        <f>COUNTIFS(STUDENTDATA!$A:$A, "5", STUDENTDATA!$F:$F, "SBC", STUDENTDATA!$E:$E, "F", STUDENTDATA!$G:$G, "D")</f>
        <v>0</v>
      </c>
      <c r="X31" s="23">
        <f>COUNTIFS(STUDENTDATA!$A:$A, "5", STUDENTDATA!$F:$F, "SBC", STUDENTDATA!$E:$E, "F", STUDENTDATA!$G:$G, "E")</f>
        <v>0</v>
      </c>
      <c r="Y31" s="23">
        <f t="shared" si="33"/>
        <v>0</v>
      </c>
      <c r="Z31" s="23">
        <f>COUNTIFS(STUDENTDATA!$A:$A, "5", STUDENTDATA!$F:$F, "GEN", STUDENTDATA!$E:$E, "F", STUDENTDATA!$G:$G, "A")</f>
        <v>0</v>
      </c>
      <c r="AA31" s="23">
        <f>COUNTIFS(STUDENTDATA!$A:$A, "5", STUDENTDATA!$F:$F, "GEN", STUDENTDATA!$E:$E, "F", STUDENTDATA!$G:$G, "B")</f>
        <v>0</v>
      </c>
      <c r="AB31" s="23">
        <f>COUNTIFS(STUDENTDATA!$A:$A, "5", STUDENTDATA!$F:$F, "GEN", STUDENTDATA!$E:$E, "F", STUDENTDATA!$G:$G, "C")</f>
        <v>0</v>
      </c>
      <c r="AC31" s="23">
        <f>COUNTIFS(STUDENTDATA!$A:$A, "5", STUDENTDATA!$F:$F, "GEN", STUDENTDATA!$E:$E, "F", STUDENTDATA!$G:$G, "D")</f>
        <v>0</v>
      </c>
      <c r="AD31" s="23">
        <f>COUNTIFS(STUDENTDATA!$A:$A, "5", STUDENTDATA!$F:$F, "GEN", STUDENTDATA!$E:$E, "F", STUDENTDATA!$G:$G, "E")</f>
        <v>0</v>
      </c>
      <c r="AE31" s="23">
        <f t="shared" si="34"/>
        <v>0</v>
      </c>
      <c r="AF31" s="23">
        <f>COUNTIFS(STUDENTDATA!$A:$A, "5", STUDENTDATA!$F:$F, "MIN", STUDENTDATA!$E:$E, "F", STUDENTDATA!$G:$G, "A")</f>
        <v>0</v>
      </c>
      <c r="AG31" s="23">
        <f>COUNTIFS(STUDENTDATA!$A:$A, "5", STUDENTDATA!$F:$F, "MIN", STUDENTDATA!$E:$E, "F", STUDENTDATA!$G:$G, "B")</f>
        <v>0</v>
      </c>
      <c r="AH31" s="23">
        <f>COUNTIFS(STUDENTDATA!$A:$A, "5", STUDENTDATA!$F:$F, "MIN", STUDENTDATA!$E:$E, "F", STUDENTDATA!$G:$G, "C")</f>
        <v>0</v>
      </c>
      <c r="AI31" s="23">
        <f>COUNTIFS(STUDENTDATA!$A:$A, "5", STUDENTDATA!$F:$F, "MIN", STUDENTDATA!$E:$E, "F", STUDENTDATA!$G:$G, "D")</f>
        <v>0</v>
      </c>
      <c r="AJ31" s="23">
        <f>COUNTIFS(STUDENTDATA!$A:$A, "5", STUDENTDATA!$F:$F, "MIN", STUDENTDATA!$E:$E, "F", STUDENTDATA!$G:$G, "E")</f>
        <v>0</v>
      </c>
      <c r="AK31" s="23">
        <f t="shared" si="35"/>
        <v>0</v>
      </c>
    </row>
    <row r="33" spans="1:37" ht="23.25" x14ac:dyDescent="0.25">
      <c r="A33" s="79" t="s">
        <v>1388</v>
      </c>
      <c r="B33" s="101" t="s">
        <v>1387</v>
      </c>
      <c r="C33" s="101"/>
      <c r="D33" s="101"/>
      <c r="E33" s="101"/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1"/>
      <c r="T33" s="101"/>
      <c r="U33" s="101"/>
      <c r="V33" s="101"/>
      <c r="W33" s="101"/>
      <c r="X33" s="101"/>
      <c r="Y33" s="101"/>
      <c r="Z33" s="101"/>
      <c r="AA33" s="101"/>
      <c r="AB33" s="101"/>
      <c r="AC33" s="101"/>
      <c r="AD33" s="101"/>
      <c r="AE33" s="101"/>
      <c r="AF33" s="101"/>
      <c r="AG33" s="101"/>
      <c r="AH33" s="101"/>
      <c r="AI33" s="101"/>
      <c r="AJ33" s="101"/>
      <c r="AK33" s="101"/>
    </row>
    <row r="34" spans="1:37" ht="27.75" customHeight="1" x14ac:dyDescent="0.25">
      <c r="A34" s="79"/>
      <c r="B34" s="82" t="s">
        <v>4</v>
      </c>
      <c r="C34" s="82"/>
      <c r="D34" s="82"/>
      <c r="E34" s="82"/>
      <c r="F34" s="82"/>
      <c r="G34" s="82"/>
      <c r="H34" s="82" t="s">
        <v>5</v>
      </c>
      <c r="I34" s="82"/>
      <c r="J34" s="82"/>
      <c r="K34" s="82"/>
      <c r="L34" s="82"/>
      <c r="M34" s="82"/>
      <c r="N34" s="82" t="s">
        <v>6</v>
      </c>
      <c r="O34" s="82"/>
      <c r="P34" s="82"/>
      <c r="Q34" s="82"/>
      <c r="R34" s="82"/>
      <c r="S34" s="82"/>
      <c r="T34" s="82" t="s">
        <v>7</v>
      </c>
      <c r="U34" s="82"/>
      <c r="V34" s="82"/>
      <c r="W34" s="82"/>
      <c r="X34" s="82"/>
      <c r="Y34" s="82"/>
      <c r="Z34" s="82" t="s">
        <v>8</v>
      </c>
      <c r="AA34" s="82"/>
      <c r="AB34" s="82"/>
      <c r="AC34" s="82"/>
      <c r="AD34" s="82"/>
      <c r="AE34" s="82"/>
      <c r="AF34" s="82" t="s">
        <v>9</v>
      </c>
      <c r="AG34" s="82"/>
      <c r="AH34" s="82"/>
      <c r="AI34" s="82"/>
      <c r="AJ34" s="82"/>
      <c r="AK34" s="82"/>
    </row>
    <row r="35" spans="1:37" s="17" customFormat="1" ht="33.75" customHeight="1" x14ac:dyDescent="0.25">
      <c r="A35" s="79"/>
      <c r="B35" s="18" t="s">
        <v>49</v>
      </c>
      <c r="C35" s="18" t="s">
        <v>10</v>
      </c>
      <c r="D35" s="18" t="s">
        <v>1376</v>
      </c>
      <c r="E35" s="18" t="s">
        <v>1377</v>
      </c>
      <c r="F35" s="18" t="s">
        <v>1378</v>
      </c>
      <c r="G35" s="26" t="s">
        <v>3</v>
      </c>
      <c r="H35" s="18" t="s">
        <v>49</v>
      </c>
      <c r="I35" s="18" t="s">
        <v>10</v>
      </c>
      <c r="J35" s="18" t="s">
        <v>1376</v>
      </c>
      <c r="K35" s="18" t="s">
        <v>1377</v>
      </c>
      <c r="L35" s="18" t="s">
        <v>1378</v>
      </c>
      <c r="M35" s="26" t="s">
        <v>3</v>
      </c>
      <c r="N35" s="18" t="s">
        <v>49</v>
      </c>
      <c r="O35" s="18" t="s">
        <v>10</v>
      </c>
      <c r="P35" s="18" t="s">
        <v>1376</v>
      </c>
      <c r="Q35" s="18" t="s">
        <v>1377</v>
      </c>
      <c r="R35" s="18" t="s">
        <v>1378</v>
      </c>
      <c r="S35" s="26" t="s">
        <v>3</v>
      </c>
      <c r="T35" s="18" t="s">
        <v>49</v>
      </c>
      <c r="U35" s="18" t="s">
        <v>10</v>
      </c>
      <c r="V35" s="18" t="s">
        <v>1376</v>
      </c>
      <c r="W35" s="18" t="s">
        <v>1377</v>
      </c>
      <c r="X35" s="18" t="s">
        <v>1378</v>
      </c>
      <c r="Y35" s="26" t="s">
        <v>3</v>
      </c>
      <c r="Z35" s="18" t="s">
        <v>49</v>
      </c>
      <c r="AA35" s="18" t="s">
        <v>10</v>
      </c>
      <c r="AB35" s="18" t="s">
        <v>1376</v>
      </c>
      <c r="AC35" s="18" t="s">
        <v>1377</v>
      </c>
      <c r="AD35" s="18" t="s">
        <v>1378</v>
      </c>
      <c r="AE35" s="26" t="s">
        <v>3</v>
      </c>
      <c r="AF35" s="18" t="s">
        <v>49</v>
      </c>
      <c r="AG35" s="18" t="s">
        <v>10</v>
      </c>
      <c r="AH35" s="18" t="s">
        <v>1376</v>
      </c>
      <c r="AI35" s="18" t="s">
        <v>1377</v>
      </c>
      <c r="AJ35" s="18" t="s">
        <v>1378</v>
      </c>
      <c r="AK35" s="26" t="s">
        <v>3</v>
      </c>
    </row>
    <row r="36" spans="1:37" s="19" customFormat="1" ht="38.25" customHeight="1" x14ac:dyDescent="0.25">
      <c r="A36" s="23">
        <v>1</v>
      </c>
      <c r="B36" s="23">
        <f>COUNTIFS(STUDENTDATA!$A:$A, "1", STUDENTDATA!$F:$F, "SC", STUDENTDATA!$G:$G, "A")</f>
        <v>0</v>
      </c>
      <c r="C36" s="23">
        <f>COUNTIFS(STUDENTDATA!$A:$A, "1", STUDENTDATA!$F:$F, "SC", STUDENTDATA!$G:$G, "B")</f>
        <v>0</v>
      </c>
      <c r="D36" s="23">
        <f>COUNTIFS(STUDENTDATA!$A:$A, "1", STUDENTDATA!$F:$F, "SC", STUDENTDATA!$G:$G, "C")</f>
        <v>0</v>
      </c>
      <c r="E36" s="23">
        <f>COUNTIFS(STUDENTDATA!$A:$A, "1", STUDENTDATA!$F:$F, "SC", STUDENTDATA!$G:$G, "D")</f>
        <v>0</v>
      </c>
      <c r="F36" s="23">
        <f>COUNTIFS(STUDENTDATA!$A:$A, "1", STUDENTDATA!$F:$F, "SC", STUDENTDATA!$G:$G, "E")</f>
        <v>0</v>
      </c>
      <c r="G36" s="23">
        <f>B36+C36+D36+E36+F36</f>
        <v>0</v>
      </c>
      <c r="H36" s="23">
        <f>COUNTIFS(STUDENTDATA!$A:$A, "1", STUDENTDATA!$F:$F, "ST", STUDENTDATA!$G:$G, "A")</f>
        <v>0</v>
      </c>
      <c r="I36" s="23">
        <f>COUNTIFS(STUDENTDATA!$A:$A, "1", STUDENTDATA!$F:$F, "ST", STUDENTDATA!$G:$G, "B")</f>
        <v>0</v>
      </c>
      <c r="J36" s="23">
        <f>COUNTIFS(STUDENTDATA!$A:$A, "1", STUDENTDATA!$F:$F, "ST", STUDENTDATA!$G:$G, "C")</f>
        <v>0</v>
      </c>
      <c r="K36" s="23">
        <f>COUNTIFS(STUDENTDATA!$A:$A, "1", STUDENTDATA!$F:$F, "ST", STUDENTDATA!$G:$G, "D")</f>
        <v>0</v>
      </c>
      <c r="L36" s="23">
        <f>COUNTIFS(STUDENTDATA!$A:$A, "1", STUDENTDATA!$F:$F, "ST", STUDENTDATA!$G:$G, "E")</f>
        <v>0</v>
      </c>
      <c r="M36" s="23">
        <f t="shared" ref="M36" si="36">H36+I36+J36+K36+L36</f>
        <v>0</v>
      </c>
      <c r="N36" s="23">
        <f>COUNTIFS(STUDENTDATA!$A:$A, "1", STUDENTDATA!$F:$F, "OBC", STUDENTDATA!$G:$G, "A")</f>
        <v>0</v>
      </c>
      <c r="O36" s="23">
        <f>COUNTIFS(STUDENTDATA!$A:$A, "1", STUDENTDATA!$F:$F, "OBC", STUDENTDATA!$G:$G, "B")</f>
        <v>0</v>
      </c>
      <c r="P36" s="23">
        <f>COUNTIFS(STUDENTDATA!$A:$A, "1", STUDENTDATA!$F:$F, "OBC", STUDENTDATA!$G:$G, "C")</f>
        <v>0</v>
      </c>
      <c r="Q36" s="23">
        <f>COUNTIFS(STUDENTDATA!$A:$A, "1", STUDENTDATA!$F:$F, "OBC", STUDENTDATA!$G:$G, "D")</f>
        <v>0</v>
      </c>
      <c r="R36" s="23">
        <f>COUNTIFS(STUDENTDATA!$A:$A, "1", STUDENTDATA!$F:$F, "OBC", STUDENTDATA!$G:$G, "E")</f>
        <v>0</v>
      </c>
      <c r="S36" s="23">
        <f t="shared" ref="S36" si="37">N36+O36+P36+Q36+R36</f>
        <v>0</v>
      </c>
      <c r="T36" s="23">
        <f>COUNTIFS(STUDENTDATA!$A:$A, "1", STUDENTDATA!$F:$F, "SBC", STUDENTDATA!$G:$G, "A")</f>
        <v>0</v>
      </c>
      <c r="U36" s="23">
        <f>COUNTIFS(STUDENTDATA!$A:$A, "1", STUDENTDATA!$F:$F, "SBC", STUDENTDATA!$G:$G, "B")</f>
        <v>0</v>
      </c>
      <c r="V36" s="23">
        <f>COUNTIFS(STUDENTDATA!$A:$A, "1", STUDENTDATA!$F:$F, "SBC", STUDENTDATA!$G:$G, "C")</f>
        <v>0</v>
      </c>
      <c r="W36" s="23">
        <f>COUNTIFS(STUDENTDATA!$A:$A, "1", STUDENTDATA!$F:$F, "SBC", STUDENTDATA!$G:$G, "D")</f>
        <v>0</v>
      </c>
      <c r="X36" s="23">
        <f>COUNTIFS(STUDENTDATA!$A:$A, "1", STUDENTDATA!$F:$F, "SBC", STUDENTDATA!$G:$G, "E")</f>
        <v>0</v>
      </c>
      <c r="Y36" s="23">
        <f t="shared" ref="Y36" si="38">T36+U36+V36+W36+X36</f>
        <v>0</v>
      </c>
      <c r="Z36" s="23">
        <f>COUNTIFS(STUDENTDATA!$A:$A, "1", STUDENTDATA!$F:$F, "GEN", STUDENTDATA!$G:$G, "A")</f>
        <v>0</v>
      </c>
      <c r="AA36" s="23">
        <f>COUNTIFS(STUDENTDATA!$A:$A, "1", STUDENTDATA!$F:$F, "GEN", STUDENTDATA!$G:$G, "B")</f>
        <v>0</v>
      </c>
      <c r="AB36" s="23">
        <f>COUNTIFS(STUDENTDATA!$A:$A, "1", STUDENTDATA!$F:$F, "GEN", STUDENTDATA!$G:$G, "C")</f>
        <v>0</v>
      </c>
      <c r="AC36" s="23">
        <f>COUNTIFS(STUDENTDATA!$A:$A, "1", STUDENTDATA!$F:$F, "GEN", STUDENTDATA!$G:$G, "D")</f>
        <v>0</v>
      </c>
      <c r="AD36" s="23">
        <f>COUNTIFS(STUDENTDATA!$A:$A, "1", STUDENTDATA!$F:$F, "GEN", STUDENTDATA!$G:$G, "E")</f>
        <v>0</v>
      </c>
      <c r="AE36" s="23">
        <f t="shared" ref="AE36" si="39">Z36+AA36+AB36+AC36+AD36</f>
        <v>0</v>
      </c>
      <c r="AF36" s="23">
        <f>COUNTIFS(STUDENTDATA!$A:$A, "1", STUDENTDATA!$F:$F, "MIN", STUDENTDATA!$G:$G, "A")</f>
        <v>0</v>
      </c>
      <c r="AG36" s="23">
        <f>COUNTIFS(STUDENTDATA!$A:$A, "1", STUDENTDATA!$F:$F, "MIN", STUDENTDATA!$G:$G, "B")</f>
        <v>0</v>
      </c>
      <c r="AH36" s="23">
        <f>COUNTIFS(STUDENTDATA!$A:$A, "1", STUDENTDATA!$F:$F, "MIN", STUDENTDATA!$G:$G, "C")</f>
        <v>0</v>
      </c>
      <c r="AI36" s="23">
        <f>COUNTIFS(STUDENTDATA!$A:$A, "1", STUDENTDATA!$F:$F, "MIN", STUDENTDATA!$G:$G, "D")</f>
        <v>0</v>
      </c>
      <c r="AJ36" s="23">
        <f>COUNTIFS(STUDENTDATA!$A:$A, "1", STUDENTDATA!$F:$F, "MIN", STUDENTDATA!$G:$G, "E")</f>
        <v>0</v>
      </c>
      <c r="AK36" s="23">
        <f t="shared" ref="AK36" si="40">AF36+AG36+AH36+AI36+AJ36</f>
        <v>0</v>
      </c>
    </row>
    <row r="37" spans="1:37" s="19" customFormat="1" ht="38.25" customHeight="1" x14ac:dyDescent="0.25">
      <c r="A37" s="23">
        <v>2</v>
      </c>
      <c r="B37" s="23">
        <f>COUNTIFS(STUDENTDATA!$A:$A, "2", STUDENTDATA!$F:$F, "SC", STUDENTDATA!$G:$G, "A")</f>
        <v>0</v>
      </c>
      <c r="C37" s="23">
        <f>COUNTIFS(STUDENTDATA!$A:$A, "2", STUDENTDATA!$F:$F, "SC", STUDENTDATA!$G:$G, "B")</f>
        <v>0</v>
      </c>
      <c r="D37" s="23">
        <f>COUNTIFS(STUDENTDATA!$A:$A, "2", STUDENTDATA!$F:$F, "SC", STUDENTDATA!$G:$G, "C")</f>
        <v>0</v>
      </c>
      <c r="E37" s="23">
        <f>COUNTIFS(STUDENTDATA!$A:$A, "2", STUDENTDATA!$F:$F, "SC", STUDENTDATA!$G:$G, "D")</f>
        <v>0</v>
      </c>
      <c r="F37" s="23">
        <f>COUNTIFS(STUDENTDATA!$A:$A, "2", STUDENTDATA!$F:$F, "SC", STUDENTDATA!$G:$G, "E")</f>
        <v>0</v>
      </c>
      <c r="G37" s="23">
        <f t="shared" ref="G37:G40" si="41">B37+C37+D37+E37+F37</f>
        <v>0</v>
      </c>
      <c r="H37" s="23">
        <f>COUNTIFS(STUDENTDATA!$A:$A, "2", STUDENTDATA!$F:$F, "ST", STUDENTDATA!$G:$G, "A")</f>
        <v>0</v>
      </c>
      <c r="I37" s="23">
        <f>COUNTIFS(STUDENTDATA!$A:$A, "2", STUDENTDATA!$F:$F, "ST", STUDENTDATA!$G:$G, "B")</f>
        <v>0</v>
      </c>
      <c r="J37" s="23">
        <f>COUNTIFS(STUDENTDATA!$A:$A, "2", STUDENTDATA!$F:$F, "ST", STUDENTDATA!$G:$G, "C")</f>
        <v>0</v>
      </c>
      <c r="K37" s="23">
        <f>COUNTIFS(STUDENTDATA!$A:$A, "2", STUDENTDATA!$F:$F, "ST", STUDENTDATA!$G:$G, "D")</f>
        <v>0</v>
      </c>
      <c r="L37" s="23">
        <f>COUNTIFS(STUDENTDATA!$A:$A, "2", STUDENTDATA!$F:$F, "ST", STUDENTDATA!$G:$G, "E")</f>
        <v>0</v>
      </c>
      <c r="M37" s="23">
        <f t="shared" ref="M37:M40" si="42">H37+I37+J37+K37+L37</f>
        <v>0</v>
      </c>
      <c r="N37" s="23">
        <f>COUNTIFS(STUDENTDATA!$A:$A, "2", STUDENTDATA!$F:$F, "OBC", STUDENTDATA!$G:$G, "A")</f>
        <v>0</v>
      </c>
      <c r="O37" s="23">
        <f>COUNTIFS(STUDENTDATA!$A:$A, "2", STUDENTDATA!$F:$F, "OBC", STUDENTDATA!$G:$G, "B")</f>
        <v>0</v>
      </c>
      <c r="P37" s="23">
        <f>COUNTIFS(STUDENTDATA!$A:$A, "2", STUDENTDATA!$F:$F, "OBC", STUDENTDATA!$G:$G, "C")</f>
        <v>0</v>
      </c>
      <c r="Q37" s="23">
        <f>COUNTIFS(STUDENTDATA!$A:$A, "2", STUDENTDATA!$F:$F, "OBC", STUDENTDATA!$G:$G, "D")</f>
        <v>0</v>
      </c>
      <c r="R37" s="23">
        <f>COUNTIFS(STUDENTDATA!$A:$A, "2", STUDENTDATA!$F:$F, "OBC", STUDENTDATA!$G:$G, "E")</f>
        <v>0</v>
      </c>
      <c r="S37" s="23">
        <f t="shared" ref="S37:S40" si="43">N37+O37+P37+Q37+R37</f>
        <v>0</v>
      </c>
      <c r="T37" s="23">
        <f>COUNTIFS(STUDENTDATA!$A:$A, "2", STUDENTDATA!$F:$F, "SBC", STUDENTDATA!$G:$G, "A")</f>
        <v>0</v>
      </c>
      <c r="U37" s="23">
        <f>COUNTIFS(STUDENTDATA!$A:$A, "2", STUDENTDATA!$F:$F, "SBC", STUDENTDATA!$G:$G, "B")</f>
        <v>0</v>
      </c>
      <c r="V37" s="23">
        <f>COUNTIFS(STUDENTDATA!$A:$A, "2", STUDENTDATA!$F:$F, "SBC", STUDENTDATA!$G:$G, "C")</f>
        <v>0</v>
      </c>
      <c r="W37" s="23">
        <f>COUNTIFS(STUDENTDATA!$A:$A, "2", STUDENTDATA!$F:$F, "SBC", STUDENTDATA!$G:$G, "D")</f>
        <v>0</v>
      </c>
      <c r="X37" s="23">
        <f>COUNTIFS(STUDENTDATA!$A:$A, "2", STUDENTDATA!$F:$F, "SBC", STUDENTDATA!$G:$G, "E")</f>
        <v>0</v>
      </c>
      <c r="Y37" s="23">
        <f t="shared" ref="Y37:Y40" si="44">T37+U37+V37+W37+X37</f>
        <v>0</v>
      </c>
      <c r="Z37" s="23">
        <f>COUNTIFS(STUDENTDATA!$A:$A, "2", STUDENTDATA!$F:$F, "GEN", STUDENTDATA!$G:$G, "A")</f>
        <v>0</v>
      </c>
      <c r="AA37" s="23">
        <f>COUNTIFS(STUDENTDATA!$A:$A, "2", STUDENTDATA!$F:$F, "GEN", STUDENTDATA!$G:$G, "B")</f>
        <v>0</v>
      </c>
      <c r="AB37" s="23">
        <f>COUNTIFS(STUDENTDATA!$A:$A, "2", STUDENTDATA!$F:$F, "GEN", STUDENTDATA!$G:$G, "C")</f>
        <v>0</v>
      </c>
      <c r="AC37" s="23">
        <f>COUNTIFS(STUDENTDATA!$A:$A, "2", STUDENTDATA!$F:$F, "GEN", STUDENTDATA!$G:$G, "D")</f>
        <v>0</v>
      </c>
      <c r="AD37" s="23">
        <f>COUNTIFS(STUDENTDATA!$A:$A, "2", STUDENTDATA!$F:$F, "GEN", STUDENTDATA!$G:$G, "E")</f>
        <v>0</v>
      </c>
      <c r="AE37" s="23">
        <f t="shared" ref="AE37:AE40" si="45">Z37+AA37+AB37+AC37+AD37</f>
        <v>0</v>
      </c>
      <c r="AF37" s="23">
        <f>COUNTIFS(STUDENTDATA!$A:$A, "2", STUDENTDATA!$F:$F, "MIN", STUDENTDATA!$G:$G, "A")</f>
        <v>0</v>
      </c>
      <c r="AG37" s="23">
        <f>COUNTIFS(STUDENTDATA!$A:$A, "2", STUDENTDATA!$F:$F, "MIN", STUDENTDATA!$G:$G, "B")</f>
        <v>0</v>
      </c>
      <c r="AH37" s="23">
        <f>COUNTIFS(STUDENTDATA!$A:$A, "2", STUDENTDATA!$F:$F, "MIN", STUDENTDATA!$G:$G, "C")</f>
        <v>0</v>
      </c>
      <c r="AI37" s="23">
        <f>COUNTIFS(STUDENTDATA!$A:$A, "2", STUDENTDATA!$F:$F, "MIN", STUDENTDATA!$G:$G, "D")</f>
        <v>0</v>
      </c>
      <c r="AJ37" s="23">
        <f>COUNTIFS(STUDENTDATA!$A:$A, "2", STUDENTDATA!$F:$F, "MIN", STUDENTDATA!$G:$G, "E")</f>
        <v>0</v>
      </c>
      <c r="AK37" s="23">
        <f t="shared" ref="AK37:AK40" si="46">AF37+AG37+AH37+AI37+AJ37</f>
        <v>0</v>
      </c>
    </row>
    <row r="38" spans="1:37" s="19" customFormat="1" ht="38.25" customHeight="1" x14ac:dyDescent="0.25">
      <c r="A38" s="23">
        <v>3</v>
      </c>
      <c r="B38" s="23">
        <f>COUNTIFS(STUDENTDATA!$A:$A, "3", STUDENTDATA!$F:$F, "SC", STUDENTDATA!$G:$G, "A")</f>
        <v>0</v>
      </c>
      <c r="C38" s="23">
        <f>COUNTIFS(STUDENTDATA!$A:$A, "3", STUDENTDATA!$F:$F, "SC", STUDENTDATA!$G:$G, "B")</f>
        <v>0</v>
      </c>
      <c r="D38" s="23">
        <f>COUNTIFS(STUDENTDATA!$A:$A, "3", STUDENTDATA!$F:$F, "SC", STUDENTDATA!$G:$G, "C")</f>
        <v>0</v>
      </c>
      <c r="E38" s="23">
        <f>COUNTIFS(STUDENTDATA!$A:$A, "3", STUDENTDATA!$F:$F, "SC", STUDENTDATA!$G:$G, "D")</f>
        <v>0</v>
      </c>
      <c r="F38" s="23">
        <f>COUNTIFS(STUDENTDATA!$A:$A, "3", STUDENTDATA!$F:$F, "SC", STUDENTDATA!$G:$G, "E")</f>
        <v>0</v>
      </c>
      <c r="G38" s="23">
        <f t="shared" si="41"/>
        <v>0</v>
      </c>
      <c r="H38" s="23">
        <f>COUNTIFS(STUDENTDATA!$A:$A, "3", STUDENTDATA!$F:$F, "ST", STUDENTDATA!$G:$G, "A")</f>
        <v>0</v>
      </c>
      <c r="I38" s="23">
        <f>COUNTIFS(STUDENTDATA!$A:$A, "3", STUDENTDATA!$F:$F, "ST", STUDENTDATA!$G:$G, "B")</f>
        <v>0</v>
      </c>
      <c r="J38" s="23">
        <f>COUNTIFS(STUDENTDATA!$A:$A, "3", STUDENTDATA!$F:$F, "ST", STUDENTDATA!$G:$G, "C")</f>
        <v>0</v>
      </c>
      <c r="K38" s="23">
        <f>COUNTIFS(STUDENTDATA!$A:$A, "3", STUDENTDATA!$F:$F, "ST", STUDENTDATA!$G:$G, "D")</f>
        <v>0</v>
      </c>
      <c r="L38" s="23">
        <f>COUNTIFS(STUDENTDATA!$A:$A, "3", STUDENTDATA!$F:$F, "ST", STUDENTDATA!$G:$G, "E")</f>
        <v>0</v>
      </c>
      <c r="M38" s="23">
        <f t="shared" si="42"/>
        <v>0</v>
      </c>
      <c r="N38" s="23">
        <f>COUNTIFS(STUDENTDATA!$A:$A, "3", STUDENTDATA!$F:$F, "OBC", STUDENTDATA!$G:$G, "A")</f>
        <v>0</v>
      </c>
      <c r="O38" s="23">
        <f>COUNTIFS(STUDENTDATA!$A:$A, "3", STUDENTDATA!$F:$F, "OBC", STUDENTDATA!$G:$G, "B")</f>
        <v>0</v>
      </c>
      <c r="P38" s="23">
        <f>COUNTIFS(STUDENTDATA!$A:$A, "3", STUDENTDATA!$F:$F, "OBC", STUDENTDATA!$G:$G, "C")</f>
        <v>0</v>
      </c>
      <c r="Q38" s="23">
        <f>COUNTIFS(STUDENTDATA!$A:$A, "3", STUDENTDATA!$F:$F, "OBC", STUDENTDATA!$G:$G, "D")</f>
        <v>0</v>
      </c>
      <c r="R38" s="23">
        <f>COUNTIFS(STUDENTDATA!$A:$A, "3", STUDENTDATA!$F:$F, "OBC", STUDENTDATA!$G:$G, "E")</f>
        <v>0</v>
      </c>
      <c r="S38" s="23">
        <f t="shared" si="43"/>
        <v>0</v>
      </c>
      <c r="T38" s="23">
        <f>COUNTIFS(STUDENTDATA!$A:$A, "3", STUDENTDATA!$F:$F, "SBC", STUDENTDATA!$G:$G, "A")</f>
        <v>0</v>
      </c>
      <c r="U38" s="23">
        <f>COUNTIFS(STUDENTDATA!$A:$A, "3", STUDENTDATA!$F:$F, "SBC", STUDENTDATA!$G:$G, "B")</f>
        <v>0</v>
      </c>
      <c r="V38" s="23">
        <f>COUNTIFS(STUDENTDATA!$A:$A, "3", STUDENTDATA!$F:$F, "SBC", STUDENTDATA!$G:$G, "C")</f>
        <v>0</v>
      </c>
      <c r="W38" s="23">
        <f>COUNTIFS(STUDENTDATA!$A:$A, "3", STUDENTDATA!$F:$F, "SBC", STUDENTDATA!$G:$G, "D")</f>
        <v>0</v>
      </c>
      <c r="X38" s="23">
        <f>COUNTIFS(STUDENTDATA!$A:$A, "3", STUDENTDATA!$F:$F, "SBC", STUDENTDATA!$G:$G, "E")</f>
        <v>0</v>
      </c>
      <c r="Y38" s="23">
        <f t="shared" si="44"/>
        <v>0</v>
      </c>
      <c r="Z38" s="23">
        <f>COUNTIFS(STUDENTDATA!$A:$A, "3", STUDENTDATA!$F:$F, "GEN", STUDENTDATA!$G:$G, "A")</f>
        <v>0</v>
      </c>
      <c r="AA38" s="23">
        <f>COUNTIFS(STUDENTDATA!$A:$A, "3", STUDENTDATA!$F:$F, "GEN", STUDENTDATA!$G:$G, "B")</f>
        <v>0</v>
      </c>
      <c r="AB38" s="23">
        <f>COUNTIFS(STUDENTDATA!$A:$A, "3", STUDENTDATA!$F:$F, "GEN", STUDENTDATA!$G:$G, "C")</f>
        <v>0</v>
      </c>
      <c r="AC38" s="23">
        <f>COUNTIFS(STUDENTDATA!$A:$A, "3", STUDENTDATA!$F:$F, "GEN", STUDENTDATA!$G:$G, "D")</f>
        <v>0</v>
      </c>
      <c r="AD38" s="23">
        <f>COUNTIFS(STUDENTDATA!$A:$A, "3", STUDENTDATA!$F:$F, "GEN", STUDENTDATA!$G:$G, "E")</f>
        <v>0</v>
      </c>
      <c r="AE38" s="23">
        <f t="shared" si="45"/>
        <v>0</v>
      </c>
      <c r="AF38" s="23">
        <f>COUNTIFS(STUDENTDATA!$A:$A, "3", STUDENTDATA!$F:$F, "MIN", STUDENTDATA!$G:$G, "A")</f>
        <v>0</v>
      </c>
      <c r="AG38" s="23">
        <f>COUNTIFS(STUDENTDATA!$A:$A, "3", STUDENTDATA!$F:$F, "MIN", STUDENTDATA!$G:$G, "B")</f>
        <v>0</v>
      </c>
      <c r="AH38" s="23">
        <f>COUNTIFS(STUDENTDATA!$A:$A, "3", STUDENTDATA!$F:$F, "MIN", STUDENTDATA!$G:$G, "C")</f>
        <v>0</v>
      </c>
      <c r="AI38" s="23">
        <f>COUNTIFS(STUDENTDATA!$A:$A, "3", STUDENTDATA!$F:$F, "MIN", STUDENTDATA!$G:$G, "D")</f>
        <v>0</v>
      </c>
      <c r="AJ38" s="23">
        <f>COUNTIFS(STUDENTDATA!$A:$A, "3", STUDENTDATA!$F:$F, "MIN", STUDENTDATA!$G:$G, "E")</f>
        <v>0</v>
      </c>
      <c r="AK38" s="23">
        <f t="shared" si="46"/>
        <v>0</v>
      </c>
    </row>
    <row r="39" spans="1:37" s="19" customFormat="1" ht="38.25" customHeight="1" x14ac:dyDescent="0.25">
      <c r="A39" s="23">
        <v>4</v>
      </c>
      <c r="B39" s="23">
        <f>COUNTIFS(STUDENTDATA!$A:$A, "4", STUDENTDATA!$F:$F, "SC", STUDENTDATA!$G:$G, "A")</f>
        <v>0</v>
      </c>
      <c r="C39" s="23">
        <f>COUNTIFS(STUDENTDATA!$A:$A, "4", STUDENTDATA!$F:$F, "SC", STUDENTDATA!$G:$G, "B")</f>
        <v>0</v>
      </c>
      <c r="D39" s="23">
        <f>COUNTIFS(STUDENTDATA!$A:$A, "4", STUDENTDATA!$F:$F, "SC", STUDENTDATA!$G:$G, "C")</f>
        <v>0</v>
      </c>
      <c r="E39" s="23">
        <f>COUNTIFS(STUDENTDATA!$A:$A, "4", STUDENTDATA!$F:$F, "SC", STUDENTDATA!$G:$G, "D")</f>
        <v>0</v>
      </c>
      <c r="F39" s="23">
        <f>COUNTIFS(STUDENTDATA!$A:$A, "4", STUDENTDATA!$F:$F, "SC", STUDENTDATA!$G:$G, "E")</f>
        <v>0</v>
      </c>
      <c r="G39" s="23">
        <f t="shared" si="41"/>
        <v>0</v>
      </c>
      <c r="H39" s="23">
        <f>COUNTIFS(STUDENTDATA!$A:$A, "4", STUDENTDATA!$F:$F, "ST", STUDENTDATA!$G:$G, "A")</f>
        <v>0</v>
      </c>
      <c r="I39" s="23">
        <f>COUNTIFS(STUDENTDATA!$A:$A, "4", STUDENTDATA!$F:$F, "ST", STUDENTDATA!$G:$G, "B")</f>
        <v>0</v>
      </c>
      <c r="J39" s="23">
        <f>COUNTIFS(STUDENTDATA!$A:$A, "4", STUDENTDATA!$F:$F, "ST", STUDENTDATA!$G:$G, "C")</f>
        <v>0</v>
      </c>
      <c r="K39" s="23">
        <f>COUNTIFS(STUDENTDATA!$A:$A, "4", STUDENTDATA!$F:$F, "ST", STUDENTDATA!$G:$G, "D")</f>
        <v>0</v>
      </c>
      <c r="L39" s="23">
        <f>COUNTIFS(STUDENTDATA!$A:$A, "4", STUDENTDATA!$F:$F, "ST", STUDENTDATA!$G:$G, "E")</f>
        <v>0</v>
      </c>
      <c r="M39" s="23">
        <f t="shared" si="42"/>
        <v>0</v>
      </c>
      <c r="N39" s="23">
        <f>COUNTIFS(STUDENTDATA!$A:$A, "4", STUDENTDATA!$F:$F, "OBC", STUDENTDATA!$G:$G, "A")</f>
        <v>0</v>
      </c>
      <c r="O39" s="23">
        <f>COUNTIFS(STUDENTDATA!$A:$A, "4", STUDENTDATA!$F:$F, "OBC", STUDENTDATA!$G:$G, "B")</f>
        <v>0</v>
      </c>
      <c r="P39" s="23">
        <f>COUNTIFS(STUDENTDATA!$A:$A, "4", STUDENTDATA!$F:$F, "OBC", STUDENTDATA!$G:$G, "C")</f>
        <v>0</v>
      </c>
      <c r="Q39" s="23">
        <f>COUNTIFS(STUDENTDATA!$A:$A, "4", STUDENTDATA!$F:$F, "OBC", STUDENTDATA!$G:$G, "D")</f>
        <v>0</v>
      </c>
      <c r="R39" s="23">
        <f>COUNTIFS(STUDENTDATA!$A:$A, "4", STUDENTDATA!$F:$F, "OBC", STUDENTDATA!$G:$G, "E")</f>
        <v>0</v>
      </c>
      <c r="S39" s="23">
        <f t="shared" si="43"/>
        <v>0</v>
      </c>
      <c r="T39" s="23">
        <f>COUNTIFS(STUDENTDATA!$A:$A, "4", STUDENTDATA!$F:$F, "SBC", STUDENTDATA!$G:$G, "A")</f>
        <v>0</v>
      </c>
      <c r="U39" s="23">
        <f>COUNTIFS(STUDENTDATA!$A:$A, "4", STUDENTDATA!$F:$F, "SBC", STUDENTDATA!$G:$G, "B")</f>
        <v>0</v>
      </c>
      <c r="V39" s="23">
        <f>COUNTIFS(STUDENTDATA!$A:$A, "4", STUDENTDATA!$F:$F, "SBC", STUDENTDATA!$G:$G, "C")</f>
        <v>0</v>
      </c>
      <c r="W39" s="23">
        <f>COUNTIFS(STUDENTDATA!$A:$A, "4", STUDENTDATA!$F:$F, "SBC", STUDENTDATA!$G:$G, "D")</f>
        <v>0</v>
      </c>
      <c r="X39" s="23">
        <f>COUNTIFS(STUDENTDATA!$A:$A, "4", STUDENTDATA!$F:$F, "SBC", STUDENTDATA!$G:$G, "E")</f>
        <v>0</v>
      </c>
      <c r="Y39" s="23">
        <f t="shared" si="44"/>
        <v>0</v>
      </c>
      <c r="Z39" s="23">
        <f>COUNTIFS(STUDENTDATA!$A:$A, "4", STUDENTDATA!$F:$F, "GEN", STUDENTDATA!$G:$G, "A")</f>
        <v>0</v>
      </c>
      <c r="AA39" s="23">
        <f>COUNTIFS(STUDENTDATA!$A:$A, "4", STUDENTDATA!$F:$F, "GEN", STUDENTDATA!$G:$G, "B")</f>
        <v>0</v>
      </c>
      <c r="AB39" s="23">
        <f>COUNTIFS(STUDENTDATA!$A:$A, "4", STUDENTDATA!$F:$F, "GEN", STUDENTDATA!$G:$G, "C")</f>
        <v>0</v>
      </c>
      <c r="AC39" s="23">
        <f>COUNTIFS(STUDENTDATA!$A:$A, "4", STUDENTDATA!$F:$F, "GEN", STUDENTDATA!$G:$G, "D")</f>
        <v>0</v>
      </c>
      <c r="AD39" s="23">
        <f>COUNTIFS(STUDENTDATA!$A:$A, "4", STUDENTDATA!$F:$F, "GEN", STUDENTDATA!$G:$G, "E")</f>
        <v>0</v>
      </c>
      <c r="AE39" s="23">
        <f t="shared" si="45"/>
        <v>0</v>
      </c>
      <c r="AF39" s="23">
        <f>COUNTIFS(STUDENTDATA!$A:$A, "4", STUDENTDATA!$F:$F, "MIN", STUDENTDATA!$G:$G, "A")</f>
        <v>0</v>
      </c>
      <c r="AG39" s="23">
        <f>COUNTIFS(STUDENTDATA!$A:$A, "4", STUDENTDATA!$F:$F, "MIN", STUDENTDATA!$G:$G, "B")</f>
        <v>0</v>
      </c>
      <c r="AH39" s="23">
        <f>COUNTIFS(STUDENTDATA!$A:$A, "4", STUDENTDATA!$F:$F, "MIN", STUDENTDATA!$G:$G, "C")</f>
        <v>0</v>
      </c>
      <c r="AI39" s="23">
        <f>COUNTIFS(STUDENTDATA!$A:$A, "4", STUDENTDATA!$F:$F, "MIN", STUDENTDATA!$G:$G, "D")</f>
        <v>0</v>
      </c>
      <c r="AJ39" s="23">
        <f>COUNTIFS(STUDENTDATA!$A:$A, "4", STUDENTDATA!$F:$F, "MIN", STUDENTDATA!$G:$G, "E")</f>
        <v>0</v>
      </c>
      <c r="AK39" s="23">
        <f t="shared" si="46"/>
        <v>0</v>
      </c>
    </row>
    <row r="40" spans="1:37" s="19" customFormat="1" ht="38.25" customHeight="1" x14ac:dyDescent="0.25">
      <c r="A40" s="23">
        <v>5</v>
      </c>
      <c r="B40" s="23">
        <f>COUNTIFS(STUDENTDATA!$A:$A, "5", STUDENTDATA!$F:$F, "SC", STUDENTDATA!$G:$G, "A")</f>
        <v>0</v>
      </c>
      <c r="C40" s="23">
        <f>COUNTIFS(STUDENTDATA!$A:$A, "5", STUDENTDATA!$F:$F, "SC", STUDENTDATA!$G:$G, "B")</f>
        <v>0</v>
      </c>
      <c r="D40" s="23">
        <f>COUNTIFS(STUDENTDATA!$A:$A, "5", STUDENTDATA!$F:$F, "SC", STUDENTDATA!$G:$G, "C")</f>
        <v>0</v>
      </c>
      <c r="E40" s="23">
        <f>COUNTIFS(STUDENTDATA!$A:$A, "5", STUDENTDATA!$F:$F, "SC", STUDENTDATA!$G:$G, "D")</f>
        <v>0</v>
      </c>
      <c r="F40" s="23">
        <f>COUNTIFS(STUDENTDATA!$A:$A, "5", STUDENTDATA!$F:$F, "SC", STUDENTDATA!$G:$G, "E")</f>
        <v>0</v>
      </c>
      <c r="G40" s="23">
        <f t="shared" si="41"/>
        <v>0</v>
      </c>
      <c r="H40" s="23">
        <f>COUNTIFS(STUDENTDATA!$A:$A, "5", STUDENTDATA!$F:$F, "ST", STUDENTDATA!$G:$G, "A")</f>
        <v>0</v>
      </c>
      <c r="I40" s="23">
        <f>COUNTIFS(STUDENTDATA!$A:$A, "5", STUDENTDATA!$F:$F, "ST", STUDENTDATA!$G:$G, "B")</f>
        <v>0</v>
      </c>
      <c r="J40" s="23">
        <f>COUNTIFS(STUDENTDATA!$A:$A, "5", STUDENTDATA!$F:$F, "ST", STUDENTDATA!$G:$G, "C")</f>
        <v>0</v>
      </c>
      <c r="K40" s="23">
        <f>COUNTIFS(STUDENTDATA!$A:$A, "5", STUDENTDATA!$F:$F, "ST", STUDENTDATA!$G:$G, "D")</f>
        <v>0</v>
      </c>
      <c r="L40" s="23">
        <f>COUNTIFS(STUDENTDATA!$A:$A, "5", STUDENTDATA!$F:$F, "ST", STUDENTDATA!$G:$G, "E")</f>
        <v>0</v>
      </c>
      <c r="M40" s="23">
        <f t="shared" si="42"/>
        <v>0</v>
      </c>
      <c r="N40" s="23">
        <f>COUNTIFS(STUDENTDATA!$A:$A, "5", STUDENTDATA!$F:$F, "OBC", STUDENTDATA!$G:$G, "A")</f>
        <v>0</v>
      </c>
      <c r="O40" s="23">
        <f>COUNTIFS(STUDENTDATA!$A:$A, "5", STUDENTDATA!$F:$F, "OBC", STUDENTDATA!$G:$G, "B")</f>
        <v>0</v>
      </c>
      <c r="P40" s="23">
        <f>COUNTIFS(STUDENTDATA!$A:$A, "5", STUDENTDATA!$F:$F, "OBC", STUDENTDATA!$G:$G, "C")</f>
        <v>0</v>
      </c>
      <c r="Q40" s="23">
        <f>COUNTIFS(STUDENTDATA!$A:$A, "5", STUDENTDATA!$F:$F, "OBC", STUDENTDATA!$G:$G, "D")</f>
        <v>0</v>
      </c>
      <c r="R40" s="23">
        <f>COUNTIFS(STUDENTDATA!$A:$A, "5", STUDENTDATA!$F:$F, "OBC", STUDENTDATA!$G:$G, "E")</f>
        <v>0</v>
      </c>
      <c r="S40" s="23">
        <f t="shared" si="43"/>
        <v>0</v>
      </c>
      <c r="T40" s="23">
        <f>COUNTIFS(STUDENTDATA!$A:$A, "5", STUDENTDATA!$F:$F, "SBC", STUDENTDATA!$G:$G, "A")</f>
        <v>0</v>
      </c>
      <c r="U40" s="23">
        <f>COUNTIFS(STUDENTDATA!$A:$A, "5", STUDENTDATA!$F:$F, "SBC", STUDENTDATA!$G:$G, "B")</f>
        <v>0</v>
      </c>
      <c r="V40" s="23">
        <f>COUNTIFS(STUDENTDATA!$A:$A, "5", STUDENTDATA!$F:$F, "SBC", STUDENTDATA!$G:$G, "C")</f>
        <v>0</v>
      </c>
      <c r="W40" s="23">
        <f>COUNTIFS(STUDENTDATA!$A:$A, "5", STUDENTDATA!$F:$F, "SBC", STUDENTDATA!$G:$G, "D")</f>
        <v>0</v>
      </c>
      <c r="X40" s="23">
        <f>COUNTIFS(STUDENTDATA!$A:$A, "5", STUDENTDATA!$F:$F, "SBC", STUDENTDATA!$G:$G, "E")</f>
        <v>0</v>
      </c>
      <c r="Y40" s="23">
        <f t="shared" si="44"/>
        <v>0</v>
      </c>
      <c r="Z40" s="23">
        <f>COUNTIFS(STUDENTDATA!$A:$A, "5", STUDENTDATA!$F:$F, "GEN", STUDENTDATA!$G:$G, "A")</f>
        <v>0</v>
      </c>
      <c r="AA40" s="23">
        <f>COUNTIFS(STUDENTDATA!$A:$A, "5", STUDENTDATA!$F:$F, "GEN", STUDENTDATA!$G:$G, "B")</f>
        <v>0</v>
      </c>
      <c r="AB40" s="23">
        <f>COUNTIFS(STUDENTDATA!$A:$A, "5", STUDENTDATA!$F:$F, "GEN", STUDENTDATA!$G:$G, "C")</f>
        <v>0</v>
      </c>
      <c r="AC40" s="23">
        <f>COUNTIFS(STUDENTDATA!$A:$A, "5", STUDENTDATA!$F:$F, "GEN", STUDENTDATA!$G:$G, "D")</f>
        <v>0</v>
      </c>
      <c r="AD40" s="23">
        <f>COUNTIFS(STUDENTDATA!$A:$A, "5", STUDENTDATA!$F:$F, "GEN", STUDENTDATA!$G:$G, "E")</f>
        <v>0</v>
      </c>
      <c r="AE40" s="23">
        <f t="shared" si="45"/>
        <v>0</v>
      </c>
      <c r="AF40" s="23">
        <f>COUNTIFS(STUDENTDATA!$A:$A, "5", STUDENTDATA!$F:$F, "MIN", STUDENTDATA!$G:$G, "A")</f>
        <v>0</v>
      </c>
      <c r="AG40" s="23">
        <f>COUNTIFS(STUDENTDATA!$A:$A, "5", STUDENTDATA!$F:$F, "MIN", STUDENTDATA!$G:$G, "B")</f>
        <v>0</v>
      </c>
      <c r="AH40" s="23">
        <f>COUNTIFS(STUDENTDATA!$A:$A, "5", STUDENTDATA!$F:$F, "MIN", STUDENTDATA!$G:$G, "C")</f>
        <v>0</v>
      </c>
      <c r="AI40" s="23">
        <f>COUNTIFS(STUDENTDATA!$A:$A, "5", STUDENTDATA!$F:$F, "MIN", STUDENTDATA!$G:$G, "D")</f>
        <v>0</v>
      </c>
      <c r="AJ40" s="23">
        <f>COUNTIFS(STUDENTDATA!$A:$A, "5", STUDENTDATA!$F:$F, "MIN", STUDENTDATA!$G:$G, "E")</f>
        <v>0</v>
      </c>
      <c r="AK40" s="23">
        <f t="shared" si="46"/>
        <v>0</v>
      </c>
    </row>
  </sheetData>
  <sheetProtection algorithmName="SHA-512" hashValue="gQHu4LUNbpPKVZO02a12NAbGsnVmQx+/ObfFPKRBEibmVQIrKkSgtP34Rs1roddIYRNHGoZKo7kec4vWv99v4g==" saltValue="k2SCbYNX7y+uk7J+AqnOGA==" spinCount="100000" sheet="1" objects="1" scenarios="1"/>
  <mergeCells count="36">
    <mergeCell ref="A33:A35"/>
    <mergeCell ref="B33:AK33"/>
    <mergeCell ref="B34:G34"/>
    <mergeCell ref="H34:M34"/>
    <mergeCell ref="N34:S34"/>
    <mergeCell ref="T34:Y34"/>
    <mergeCell ref="Z34:AE34"/>
    <mergeCell ref="AF34:AK34"/>
    <mergeCell ref="A24:A26"/>
    <mergeCell ref="B24:AK24"/>
    <mergeCell ref="B25:G25"/>
    <mergeCell ref="H25:M25"/>
    <mergeCell ref="N25:S25"/>
    <mergeCell ref="T25:Y25"/>
    <mergeCell ref="Z25:AE25"/>
    <mergeCell ref="AF25:AK25"/>
    <mergeCell ref="A14:A16"/>
    <mergeCell ref="B14:AK14"/>
    <mergeCell ref="B15:G15"/>
    <mergeCell ref="H15:M15"/>
    <mergeCell ref="N15:S15"/>
    <mergeCell ref="T15:Y15"/>
    <mergeCell ref="Z15:AE15"/>
    <mergeCell ref="AF15:AK15"/>
    <mergeCell ref="B2:X2"/>
    <mergeCell ref="B3:X3"/>
    <mergeCell ref="B4:B6"/>
    <mergeCell ref="C4:C6"/>
    <mergeCell ref="D4:U4"/>
    <mergeCell ref="V4:X5"/>
    <mergeCell ref="D5:F5"/>
    <mergeCell ref="G5:I5"/>
    <mergeCell ref="J5:L5"/>
    <mergeCell ref="M5:O5"/>
    <mergeCell ref="P5:R5"/>
    <mergeCell ref="S5:U5"/>
  </mergeCells>
  <conditionalFormatting sqref="A1:XFD1048576">
    <cfRule type="cellIs" dxfId="8" priority="1" operator="equal">
      <formula>0</formula>
    </cfRule>
  </conditionalFormatting>
  <pageMargins left="0.25" right="0.12" top="0.75" bottom="0.4" header="0.3" footer="0.3"/>
  <pageSetup paperSize="9" scale="41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446A9C-6B68-404A-8835-F8D98FBABA2C}">
  <sheetPr codeName="Sheet6">
    <pageSetUpPr fitToPage="1"/>
  </sheetPr>
  <dimension ref="A2:AQ35"/>
  <sheetViews>
    <sheetView showGridLines="0" showRowColHeaders="0" topLeftCell="A19" zoomScale="78" zoomScaleNormal="78" zoomScaleSheetLayoutView="25" workbookViewId="0">
      <selection activeCell="P7" sqref="P7"/>
    </sheetView>
  </sheetViews>
  <sheetFormatPr defaultRowHeight="15" x14ac:dyDescent="0.25"/>
  <cols>
    <col min="1" max="1" width="5.85546875" style="15" customWidth="1"/>
    <col min="2" max="2" width="11.5703125" style="15" bestFit="1" customWidth="1"/>
    <col min="3" max="24" width="9.42578125" style="15" bestFit="1" customWidth="1"/>
    <col min="25" max="16384" width="9.140625" style="15"/>
  </cols>
  <sheetData>
    <row r="2" spans="1:37" ht="29.25" x14ac:dyDescent="0.25">
      <c r="B2" s="78" t="str">
        <f>LIFAFA2!A1</f>
        <v xml:space="preserve">राजकीय उच्च माध्यमिक विद्यालय ,मोराझड़ी (214242) श्रीनगर </v>
      </c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</row>
    <row r="3" spans="1:37" ht="23.25" x14ac:dyDescent="0.25">
      <c r="B3" s="99" t="s">
        <v>1383</v>
      </c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</row>
    <row r="4" spans="1:37" ht="23.25" x14ac:dyDescent="0.25">
      <c r="B4" s="100" t="s">
        <v>0</v>
      </c>
      <c r="C4" s="88" t="s">
        <v>1384</v>
      </c>
      <c r="D4" s="101" t="s">
        <v>2</v>
      </c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91" t="s">
        <v>3</v>
      </c>
      <c r="W4" s="92"/>
      <c r="X4" s="93"/>
    </row>
    <row r="5" spans="1:37" ht="24.75" customHeight="1" x14ac:dyDescent="0.25">
      <c r="B5" s="100"/>
      <c r="C5" s="89"/>
      <c r="D5" s="82" t="s">
        <v>4</v>
      </c>
      <c r="E5" s="82"/>
      <c r="F5" s="82"/>
      <c r="G5" s="82" t="s">
        <v>5</v>
      </c>
      <c r="H5" s="82"/>
      <c r="I5" s="82"/>
      <c r="J5" s="82" t="s">
        <v>6</v>
      </c>
      <c r="K5" s="82"/>
      <c r="L5" s="82"/>
      <c r="M5" s="82" t="s">
        <v>7</v>
      </c>
      <c r="N5" s="82"/>
      <c r="O5" s="82"/>
      <c r="P5" s="82" t="s">
        <v>8</v>
      </c>
      <c r="Q5" s="82"/>
      <c r="R5" s="82"/>
      <c r="S5" s="82" t="s">
        <v>9</v>
      </c>
      <c r="T5" s="82"/>
      <c r="U5" s="82"/>
      <c r="V5" s="94"/>
      <c r="W5" s="95"/>
      <c r="X5" s="96"/>
    </row>
    <row r="6" spans="1:37" s="17" customFormat="1" ht="32.25" customHeight="1" x14ac:dyDescent="0.25">
      <c r="B6" s="100"/>
      <c r="C6" s="90"/>
      <c r="D6" s="18" t="s">
        <v>10</v>
      </c>
      <c r="E6" s="18" t="s">
        <v>11</v>
      </c>
      <c r="F6" s="18" t="s">
        <v>12</v>
      </c>
      <c r="G6" s="18" t="s">
        <v>10</v>
      </c>
      <c r="H6" s="18" t="s">
        <v>11</v>
      </c>
      <c r="I6" s="18" t="s">
        <v>12</v>
      </c>
      <c r="J6" s="18" t="s">
        <v>10</v>
      </c>
      <c r="K6" s="18" t="s">
        <v>11</v>
      </c>
      <c r="L6" s="18" t="s">
        <v>12</v>
      </c>
      <c r="M6" s="18" t="s">
        <v>10</v>
      </c>
      <c r="N6" s="18" t="s">
        <v>11</v>
      </c>
      <c r="O6" s="18" t="s">
        <v>12</v>
      </c>
      <c r="P6" s="18" t="s">
        <v>10</v>
      </c>
      <c r="Q6" s="18" t="s">
        <v>11</v>
      </c>
      <c r="R6" s="18" t="s">
        <v>12</v>
      </c>
      <c r="S6" s="18" t="s">
        <v>10</v>
      </c>
      <c r="T6" s="18" t="s">
        <v>11</v>
      </c>
      <c r="U6" s="18" t="s">
        <v>12</v>
      </c>
      <c r="V6" s="18" t="s">
        <v>10</v>
      </c>
      <c r="W6" s="18" t="s">
        <v>11</v>
      </c>
      <c r="X6" s="18" t="s">
        <v>12</v>
      </c>
    </row>
    <row r="7" spans="1:37" s="19" customFormat="1" ht="57" customHeight="1" x14ac:dyDescent="0.25">
      <c r="B7" s="20"/>
      <c r="C7" s="21">
        <v>6</v>
      </c>
      <c r="D7" s="22" cm="1">
        <f t="array" aca="1" ref="D7" ca="1">SUMPRODUCT(
(STUDENTDATA!$A$2:$A$1000=6)*
(STUDENTDATA!$F$2:$F$1000="SC")*
(STUDENTDATA!$E$2:$E$1000="M")*
ISNUMBER(MATCH(STUDENTDATA!$G$2:$G$1000,{"A","B","C","D","E","I","II","III","अनुत्तीर्ण"},0))
)</f>
        <v>0</v>
      </c>
      <c r="E7" s="22" cm="1">
        <f t="array" aca="1" ref="E7" ca="1">SUMPRODUCT(
(STUDENTDATA!$A$2:$A$1000=6)*
(STUDENTDATA!$F$2:$F$1000="SC")*
(STUDENTDATA!$E$2:$E$1000="F")*
ISNUMBER(MATCH(STUDENTDATA!$G$2:$G$1000,{"A","B","C","D","E","I","II","III","अनुत्तीर्ण"},0))
)</f>
        <v>0</v>
      </c>
      <c r="F7" s="22">
        <f ca="1">D7+E7</f>
        <v>0</v>
      </c>
      <c r="G7" s="22" cm="1">
        <f t="array" aca="1" ref="G7" ca="1">SUMPRODUCT(
(STUDENTDATA!$A$2:$A$1000=6)*
(STUDENTDATA!$F$2:$F$1000="ST")*
(STUDENTDATA!$E$2:$E$1000="M")*
ISNUMBER(MATCH(STUDENTDATA!$G$2:$G$1000,{"A","B","C","D","E","I","II","III","अनुत्तीर्ण"},0))
)</f>
        <v>0</v>
      </c>
      <c r="H7" s="22" cm="1">
        <f t="array" aca="1" ref="H7" ca="1">SUMPRODUCT(
(STUDENTDATA!$A$2:$A$1000=6)*
(STUDENTDATA!$F$2:$F$1000="ST")*
(STUDENTDATA!$E$2:$E$1000="F")*
ISNUMBER(MATCH(STUDENTDATA!$G$2:$G$1000,{"A","B","C","D","E","I","II","III","अनुत्तीर्ण"},0))
)</f>
        <v>0</v>
      </c>
      <c r="I7" s="22">
        <f t="shared" ref="I7" ca="1" si="0">G7+H7</f>
        <v>0</v>
      </c>
      <c r="J7" s="22" cm="1">
        <f t="array" aca="1" ref="J7" ca="1">SUMPRODUCT(
(STUDENTDATA!$A$2:$A$1000=6)*
(STUDENTDATA!$F$2:$F$1000="OBC")*
(STUDENTDATA!$E$2:$E$1000="M")*
ISNUMBER(MATCH(STUDENTDATA!$G$2:$G$1000,{"A","B","C","D","E","I","II","III","अनुत्तीर्ण"},0))
)</f>
        <v>0</v>
      </c>
      <c r="K7" s="22" cm="1">
        <f t="array" aca="1" ref="K7" ca="1">SUMPRODUCT(
(STUDENTDATA!$A$2:$A$1000=6)*
(STUDENTDATA!$F$2:$F$1000="OBC")*
(STUDENTDATA!$E$2:$E$1000="F")*
ISNUMBER(MATCH(STUDENTDATA!$G$2:$G$1000,{"A","B","C","D","E","I","II","III","अनुत्तीर्ण"},0))
)</f>
        <v>0</v>
      </c>
      <c r="L7" s="22">
        <f t="shared" ref="L7" ca="1" si="1">J7+K7</f>
        <v>0</v>
      </c>
      <c r="M7" s="22" cm="1">
        <f t="array" aca="1" ref="M7" ca="1">SUMPRODUCT(
(STUDENTDATA!$A$2:$A$1000=6)*
(STUDENTDATA!$F$2:$F$1000="SBC")*
(STUDENTDATA!$E$2:$E$1000="M")*
ISNUMBER(MATCH(STUDENTDATA!$G$2:$G$1000,{"A","B","C","D","E","I","II","III","अनुत्तीर्ण"},0))
)</f>
        <v>0</v>
      </c>
      <c r="N7" s="22" cm="1">
        <f t="array" aca="1" ref="N7" ca="1">SUMPRODUCT(
(STUDENTDATA!$A$2:$A$1000=6)*
(STUDENTDATA!$F$2:$F$1000="SBC")*
(STUDENTDATA!$E$2:$E$1000="F")*
ISNUMBER(MATCH(STUDENTDATA!$G$2:$G$1000,{"A","B","C","D","E","I","II","III","अनुत्तीर्ण"},0))
)</f>
        <v>0</v>
      </c>
      <c r="O7" s="22">
        <f t="shared" ref="O7" ca="1" si="2">M7+N7</f>
        <v>0</v>
      </c>
      <c r="P7" s="22" cm="1">
        <f t="array" aca="1" ref="P7" ca="1">SUMPRODUCT(
(STUDENTDATA!$A$2:$A$1000=6)*
(STUDENTDATA!$F$2:$F$1000="GEN")*
(STUDENTDATA!$E$2:$E$1000="M")*
ISNUMBER(MATCH(STUDENTDATA!$G$2:$G$1000,{"A","B","C","D","E","I","II","III","अनुत्तीर्ण"},0))
)</f>
        <v>0</v>
      </c>
      <c r="Q7" s="22" cm="1">
        <f t="array" aca="1" ref="Q7" ca="1">SUMPRODUCT(
(STUDENTDATA!$A$2:$A$1000=6)*
(STUDENTDATA!$F$2:$F$1000="GEN")*
(STUDENTDATA!$E$2:$E$1000="F")*
ISNUMBER(MATCH(STUDENTDATA!$G$2:$G$1000,{"A","B","C","D","E","I","II","III","अनुत्तीर्ण"},0))
)</f>
        <v>0</v>
      </c>
      <c r="R7" s="22">
        <f t="shared" ref="R7" ca="1" si="3">P7+Q7</f>
        <v>0</v>
      </c>
      <c r="S7" s="22" cm="1">
        <f t="array" aca="1" ref="S7" ca="1">SUMPRODUCT(
(STUDENTDATA!$A$2:$A$1000=6)*
(STUDENTDATA!$F$2:$F$1000="MIN")*
(STUDENTDATA!$E$2:$E$1000="M")*
ISNUMBER(MATCH(STUDENTDATA!$G$2:$G$1000,{"A","B","C","D","E","I","II","III","अनुत्तीर्ण"},0))
)</f>
        <v>0</v>
      </c>
      <c r="T7" s="22" cm="1">
        <f t="array" aca="1" ref="T7" ca="1">SUMPRODUCT(
(STUDENTDATA!$A$2:$A$1000=6)*
(STUDENTDATA!$F$2:$F$1000="MIN")*
(STUDENTDATA!$E$2:$E$1000="F")*
ISNUMBER(MATCH(STUDENTDATA!$G$2:$G$1000,{"A","B","C","D","E","I","II","III","अनुत्तीर्ण"},0))
)</f>
        <v>0</v>
      </c>
      <c r="U7" s="22">
        <f t="shared" ref="U7" ca="1" si="4">S7+T7</f>
        <v>0</v>
      </c>
      <c r="V7" s="22">
        <f ca="1">D7+G7+J7+M7+P7+S7</f>
        <v>0</v>
      </c>
      <c r="W7" s="22">
        <f ca="1">E7+H7+K7+N7+Q7+T7</f>
        <v>0</v>
      </c>
      <c r="X7" s="22">
        <f ca="1">V7+W7</f>
        <v>0</v>
      </c>
    </row>
    <row r="8" spans="1:37" s="19" customFormat="1" ht="57" customHeight="1" x14ac:dyDescent="0.25">
      <c r="B8" s="20"/>
      <c r="C8" s="23">
        <v>7</v>
      </c>
      <c r="D8" s="22" cm="1">
        <f t="array" aca="1" ref="D8" ca="1">SUMPRODUCT(
(STUDENTDATA!$A$2:$A$1000=7)*
(STUDENTDATA!$F$2:$F$1000="SC")*
(STUDENTDATA!$E$2:$E$1000="M")*
ISNUMBER(MATCH(STUDENTDATA!$G$2:$G$1000,{"A","B","C","D","E","I","II","III","अनुत्तीर्ण"},0))
)</f>
        <v>0</v>
      </c>
      <c r="E8" s="22" cm="1">
        <f t="array" aca="1" ref="E8" ca="1">SUMPRODUCT(
(STUDENTDATA!$A$2:$A$1000=7)*
(STUDENTDATA!$F$2:$F$1000="SC")*
(STUDENTDATA!$E$2:$E$1000="F")*
ISNUMBER(MATCH(STUDENTDATA!$G$2:$G$1000,{"A","B","C","D","E","I","II","III","अनुत्तीर्ण"},0))
)</f>
        <v>0</v>
      </c>
      <c r="F8" s="22">
        <f t="shared" ref="F8:F9" ca="1" si="5">D8+E8</f>
        <v>0</v>
      </c>
      <c r="G8" s="22" cm="1">
        <f t="array" aca="1" ref="G8" ca="1">SUMPRODUCT(
(STUDENTDATA!$A$2:$A$1000=7)*
(STUDENTDATA!$F$2:$F$1000="ST")*
(STUDENTDATA!$E$2:$E$1000="M")*
ISNUMBER(MATCH(STUDENTDATA!$G$2:$G$1000,{"A","B","C","D","E","I","II","III","अनुत्तीर्ण"},0))
)</f>
        <v>0</v>
      </c>
      <c r="H8" s="22" cm="1">
        <f t="array" aca="1" ref="H8" ca="1">SUMPRODUCT(
(STUDENTDATA!$A$2:$A$1000=7)*
(STUDENTDATA!$F$2:$F$1000="ST")*
(STUDENTDATA!$E$2:$E$1000="F")*
ISNUMBER(MATCH(STUDENTDATA!$G$2:$G$1000,{"A","B","C","D","E","I","II","III","अनुत्तीर्ण"},0))
)</f>
        <v>0</v>
      </c>
      <c r="I8" s="22">
        <f t="shared" ref="I8:I9" ca="1" si="6">G8+H8</f>
        <v>0</v>
      </c>
      <c r="J8" s="22" cm="1">
        <f t="array" aca="1" ref="J8" ca="1">SUMPRODUCT(
(STUDENTDATA!$A$2:$A$1000=7)*
(STUDENTDATA!$F$2:$F$1000="OBC")*
(STUDENTDATA!$E$2:$E$1000="M")*
ISNUMBER(MATCH(STUDENTDATA!$G$2:$G$1000,{"A","B","C","D","E","I","II","III","अनुत्तीर्ण"},0))
)</f>
        <v>0</v>
      </c>
      <c r="K8" s="22" cm="1">
        <f t="array" aca="1" ref="K8" ca="1">SUMPRODUCT(
(STUDENTDATA!$A$2:$A$1000=7)*
(STUDENTDATA!$F$2:$F$1000="OBC")*
(STUDENTDATA!$E$2:$E$1000="F")*
ISNUMBER(MATCH(STUDENTDATA!$G$2:$G$1000,{"A","B","C","D","E","I","II","III","अनुत्तीर्ण"},0))
)</f>
        <v>0</v>
      </c>
      <c r="L8" s="22">
        <f t="shared" ref="L8:L9" ca="1" si="7">J8+K8</f>
        <v>0</v>
      </c>
      <c r="M8" s="22" cm="1">
        <f t="array" aca="1" ref="M8" ca="1">SUMPRODUCT(
(STUDENTDATA!$A$2:$A$1000=7)*
(STUDENTDATA!$F$2:$F$1000="SBC")*
(STUDENTDATA!$E$2:$E$1000="M")*
ISNUMBER(MATCH(STUDENTDATA!$G$2:$G$1000,{"A","B","C","D","E","I","II","III","अनुत्तीर्ण"},0))
)</f>
        <v>0</v>
      </c>
      <c r="N8" s="22" cm="1">
        <f t="array" aca="1" ref="N8" ca="1">SUMPRODUCT(
(STUDENTDATA!$A$2:$A$1000=7)*
(STUDENTDATA!$F$2:$F$1000="SBC")*
(STUDENTDATA!$E$2:$E$1000="F")*
ISNUMBER(MATCH(STUDENTDATA!$G$2:$G$1000,{"A","B","C","D","E","I","II","III","अनुत्तीर्ण"},0))
)</f>
        <v>0</v>
      </c>
      <c r="O8" s="22">
        <f t="shared" ref="O8:O9" ca="1" si="8">M8+N8</f>
        <v>0</v>
      </c>
      <c r="P8" s="22" cm="1">
        <f t="array" aca="1" ref="P8" ca="1">SUMPRODUCT(
(STUDENTDATA!$A$2:$A$1000=7)*
(STUDENTDATA!$F$2:$F$1000="GEN")*
(STUDENTDATA!$E$2:$E$1000="M")*
ISNUMBER(MATCH(STUDENTDATA!$G$2:$G$1000,{"A","B","C","D","E","I","II","III","अनुत्तीर्ण"},0))
)</f>
        <v>0</v>
      </c>
      <c r="Q8" s="22" cm="1">
        <f t="array" aca="1" ref="Q8" ca="1">SUMPRODUCT(
(STUDENTDATA!$A$2:$A$1000=7)*
(STUDENTDATA!$F$2:$F$1000="GEN")*
(STUDENTDATA!$E$2:$E$1000="F")*
ISNUMBER(MATCH(STUDENTDATA!$G$2:$G$1000,{"A","B","C","D","E","I","II","III","अनुत्तीर्ण"},0))
)</f>
        <v>0</v>
      </c>
      <c r="R8" s="22">
        <f t="shared" ref="R8:R9" ca="1" si="9">P8+Q8</f>
        <v>0</v>
      </c>
      <c r="S8" s="22" cm="1">
        <f t="array" aca="1" ref="S8" ca="1">SUMPRODUCT(
(STUDENTDATA!$A$2:$A$1000=7)*
(STUDENTDATA!$F$2:$F$1000="MIN")*
(STUDENTDATA!$E$2:$E$1000="M")*
ISNUMBER(MATCH(STUDENTDATA!$G$2:$G$1000,{"A","B","C","D","E","I","II","III","अनुत्तीर्ण"},0))
)</f>
        <v>0</v>
      </c>
      <c r="T8" s="22" cm="1">
        <f t="array" aca="1" ref="T8" ca="1">SUMPRODUCT(
(STUDENTDATA!$A$2:$A$1000=7)*
(STUDENTDATA!$F$2:$F$1000="MIN")*
(STUDENTDATA!$E$2:$E$1000="F")*
ISNUMBER(MATCH(STUDENTDATA!$G$2:$G$1000,{"A","B","C","D","E","I","II","III","अनुत्तीर्ण"},0))
)</f>
        <v>0</v>
      </c>
      <c r="U8" s="22">
        <f t="shared" ref="U8:U9" ca="1" si="10">S8+T8</f>
        <v>0</v>
      </c>
      <c r="V8" s="22">
        <f t="shared" ref="V8:V9" ca="1" si="11">D8+G8+J8+M8+P8+S8</f>
        <v>0</v>
      </c>
      <c r="W8" s="22">
        <f t="shared" ref="W8:W9" ca="1" si="12">E8+H8+K8+N8+Q8+T8</f>
        <v>0</v>
      </c>
      <c r="X8" s="22">
        <f t="shared" ref="X8:X9" ca="1" si="13">V8+W8</f>
        <v>0</v>
      </c>
    </row>
    <row r="9" spans="1:37" s="19" customFormat="1" ht="57" customHeight="1" x14ac:dyDescent="0.25">
      <c r="B9" s="20"/>
      <c r="C9" s="23">
        <v>8</v>
      </c>
      <c r="D9" s="22" cm="1">
        <f t="array" aca="1" ref="D9" ca="1">SUMPRODUCT(
(STUDENTDATA!$A$2:$A$1000=8)*
(STUDENTDATA!$F$2:$F$1000="SC")*
(STUDENTDATA!$E$2:$E$1000="M")*
ISNUMBER(MATCH(STUDENTDATA!$G$2:$G$1000,{"A","B","C","D","E","I","II","III","अनुत्तीर्ण"},0))
)</f>
        <v>0</v>
      </c>
      <c r="E9" s="22" cm="1">
        <f t="array" aca="1" ref="E9" ca="1">SUMPRODUCT(
(STUDENTDATA!$A$2:$A$1000=8)*
(STUDENTDATA!$F$2:$F$1000="SC")*
(STUDENTDATA!$E$2:$E$1000="F")*
ISNUMBER(MATCH(STUDENTDATA!$G$2:$G$1000,{"A","B","C","D","E","I","II","III","अनुत्तीर्ण"},0))
)</f>
        <v>0</v>
      </c>
      <c r="F9" s="22">
        <f t="shared" ca="1" si="5"/>
        <v>0</v>
      </c>
      <c r="G9" s="22" cm="1">
        <f t="array" aca="1" ref="G9" ca="1">SUMPRODUCT(
(STUDENTDATA!$A$2:$A$1000=8)*
(STUDENTDATA!$F$2:$F$1000="ST")*
(STUDENTDATA!$E$2:$E$1000="M")*
ISNUMBER(MATCH(STUDENTDATA!$G$2:$G$1000,{"A","B","C","D","E","I","II","III","अनुत्तीर्ण"},0))
)</f>
        <v>0</v>
      </c>
      <c r="H9" s="22" cm="1">
        <f t="array" aca="1" ref="H9" ca="1">SUMPRODUCT(
(STUDENTDATA!$A$2:$A$1000=8)*
(STUDENTDATA!$F$2:$F$1000="ST")*
(STUDENTDATA!$E$2:$E$1000="F")*
ISNUMBER(MATCH(STUDENTDATA!$G$2:$G$1000,{"A","B","C","D","E","I","II","III","अनुत्तीर्ण"},0))
)</f>
        <v>0</v>
      </c>
      <c r="I9" s="22">
        <f t="shared" ca="1" si="6"/>
        <v>0</v>
      </c>
      <c r="J9" s="22" cm="1">
        <f t="array" aca="1" ref="J9" ca="1">SUMPRODUCT(
(STUDENTDATA!$A$2:$A$1000=8)*
(STUDENTDATA!$F$2:$F$1000="OBC")*
(STUDENTDATA!$E$2:$E$1000="M")*
ISNUMBER(MATCH(STUDENTDATA!$G$2:$G$1000,{"A","B","C","D","E","I","II","III","अनुत्तीर्ण"},0))
)</f>
        <v>0</v>
      </c>
      <c r="K9" s="22" cm="1">
        <f t="array" aca="1" ref="K9" ca="1">SUMPRODUCT(
(STUDENTDATA!$A$2:$A$1000=8)*
(STUDENTDATA!$F$2:$F$1000="OBC")*
(STUDENTDATA!$E$2:$E$1000="F")*
ISNUMBER(MATCH(STUDENTDATA!$G$2:$G$1000,{"A","B","C","D","E","I","II","III","अनुत्तीर्ण"},0))
)</f>
        <v>0</v>
      </c>
      <c r="L9" s="22">
        <f t="shared" ca="1" si="7"/>
        <v>0</v>
      </c>
      <c r="M9" s="22" cm="1">
        <f t="array" aca="1" ref="M9" ca="1">SUMPRODUCT(
(STUDENTDATA!$A$2:$A$1000=8)*
(STUDENTDATA!$F$2:$F$1000="SBC")*
(STUDENTDATA!$E$2:$E$1000="M")*
ISNUMBER(MATCH(STUDENTDATA!$G$2:$G$1000,{"A","B","C","D","E","I","II","III","अनुत्तीर्ण"},0))
)</f>
        <v>0</v>
      </c>
      <c r="N9" s="22" cm="1">
        <f t="array" aca="1" ref="N9" ca="1">SUMPRODUCT(
(STUDENTDATA!$A$2:$A$1000=8)*
(STUDENTDATA!$F$2:$F$1000="SBC")*
(STUDENTDATA!$E$2:$E$1000="F")*
ISNUMBER(MATCH(STUDENTDATA!$G$2:$G$1000,{"A","B","C","D","E","I","II","III","अनुत्तीर्ण"},0))
)</f>
        <v>0</v>
      </c>
      <c r="O9" s="22">
        <f t="shared" ca="1" si="8"/>
        <v>0</v>
      </c>
      <c r="P9" s="22" cm="1">
        <f t="array" aca="1" ref="P9" ca="1">SUMPRODUCT(
(STUDENTDATA!$A$2:$A$1000=8)*
(STUDENTDATA!$F$2:$F$1000="GEN")*
(STUDENTDATA!$E$2:$E$1000="M")*
ISNUMBER(MATCH(STUDENTDATA!$G$2:$G$1000,{"A","B","C","D","E","I","II","III","अनुत्तीर्ण"},0))
)</f>
        <v>0</v>
      </c>
      <c r="Q9" s="22" cm="1">
        <f t="array" aca="1" ref="Q9" ca="1">SUMPRODUCT(
(STUDENTDATA!$A$2:$A$1000=8)*
(STUDENTDATA!$F$2:$F$1000="GEN")*
(STUDENTDATA!$E$2:$E$1000="F")*
ISNUMBER(MATCH(STUDENTDATA!$G$2:$G$1000,{"A","B","C","D","E","I","II","III","अनुत्तीर्ण"},0))
)</f>
        <v>0</v>
      </c>
      <c r="R9" s="22">
        <f t="shared" ca="1" si="9"/>
        <v>0</v>
      </c>
      <c r="S9" s="22" cm="1">
        <f t="array" aca="1" ref="S9" ca="1">SUMPRODUCT(
(STUDENTDATA!$A$2:$A$1000=8)*
(STUDENTDATA!$F$2:$F$1000="MIN")*
(STUDENTDATA!$E$2:$E$1000="M")*
ISNUMBER(MATCH(STUDENTDATA!$G$2:$G$1000,{"A","B","C","D","E","I","II","III","अनुत्तीर्ण"},0))
)</f>
        <v>0</v>
      </c>
      <c r="T9" s="22" cm="1">
        <f t="array" aca="1" ref="T9" ca="1">SUMPRODUCT(
(STUDENTDATA!$A$2:$A$1000=8)*
(STUDENTDATA!$F$2:$F$1000="MIN")*
(STUDENTDATA!$E$2:$E$1000="F")*
ISNUMBER(MATCH(STUDENTDATA!$G$2:$G$1000,{"A","B","C","D","E","I","II","III","अनुत्तीर्ण"},0))
)</f>
        <v>0</v>
      </c>
      <c r="U9" s="22">
        <f t="shared" ca="1" si="10"/>
        <v>0</v>
      </c>
      <c r="V9" s="22">
        <f t="shared" ca="1" si="11"/>
        <v>0</v>
      </c>
      <c r="W9" s="22">
        <f t="shared" ca="1" si="12"/>
        <v>0</v>
      </c>
      <c r="X9" s="22">
        <f t="shared" ca="1" si="13"/>
        <v>0</v>
      </c>
    </row>
    <row r="12" spans="1:37" ht="23.25" x14ac:dyDescent="0.25">
      <c r="A12" s="79" t="s">
        <v>1388</v>
      </c>
      <c r="B12" s="101" t="s">
        <v>1385</v>
      </c>
      <c r="C12" s="101"/>
      <c r="D12" s="101"/>
      <c r="E12" s="101"/>
      <c r="F12" s="101"/>
      <c r="G12" s="101"/>
      <c r="H12" s="101"/>
      <c r="I12" s="101"/>
      <c r="J12" s="101"/>
      <c r="K12" s="101"/>
      <c r="L12" s="101"/>
      <c r="M12" s="101"/>
      <c r="N12" s="101"/>
      <c r="O12" s="101"/>
      <c r="P12" s="101"/>
      <c r="Q12" s="101"/>
      <c r="R12" s="101"/>
      <c r="S12" s="101"/>
      <c r="T12" s="101"/>
      <c r="U12" s="101"/>
      <c r="V12" s="101"/>
      <c r="W12" s="101"/>
      <c r="X12" s="101"/>
      <c r="Y12" s="101"/>
      <c r="Z12" s="101"/>
      <c r="AA12" s="101"/>
      <c r="AB12" s="101"/>
      <c r="AC12" s="101"/>
      <c r="AD12" s="101"/>
      <c r="AE12" s="101"/>
      <c r="AF12" s="101"/>
      <c r="AG12" s="101"/>
      <c r="AH12" s="101"/>
      <c r="AI12" s="101"/>
      <c r="AJ12" s="101"/>
      <c r="AK12" s="101"/>
    </row>
    <row r="13" spans="1:37" ht="18" customHeight="1" x14ac:dyDescent="0.25">
      <c r="A13" s="79"/>
      <c r="B13" s="82" t="s">
        <v>4</v>
      </c>
      <c r="C13" s="82"/>
      <c r="D13" s="82"/>
      <c r="E13" s="82"/>
      <c r="F13" s="82"/>
      <c r="G13" s="82"/>
      <c r="H13" s="82" t="s">
        <v>5</v>
      </c>
      <c r="I13" s="82"/>
      <c r="J13" s="82"/>
      <c r="K13" s="82"/>
      <c r="L13" s="82"/>
      <c r="M13" s="82"/>
      <c r="N13" s="82" t="s">
        <v>6</v>
      </c>
      <c r="O13" s="82"/>
      <c r="P13" s="82"/>
      <c r="Q13" s="82"/>
      <c r="R13" s="82"/>
      <c r="S13" s="82"/>
      <c r="T13" s="82" t="s">
        <v>7</v>
      </c>
      <c r="U13" s="82"/>
      <c r="V13" s="82"/>
      <c r="W13" s="82"/>
      <c r="X13" s="82"/>
      <c r="Y13" s="82"/>
      <c r="Z13" s="82" t="s">
        <v>8</v>
      </c>
      <c r="AA13" s="82"/>
      <c r="AB13" s="82"/>
      <c r="AC13" s="82"/>
      <c r="AD13" s="82"/>
      <c r="AE13" s="82"/>
      <c r="AF13" s="82" t="s">
        <v>9</v>
      </c>
      <c r="AG13" s="82"/>
      <c r="AH13" s="82"/>
      <c r="AI13" s="82"/>
      <c r="AJ13" s="82"/>
      <c r="AK13" s="82"/>
    </row>
    <row r="14" spans="1:37" ht="29.25" customHeight="1" x14ac:dyDescent="0.25">
      <c r="A14" s="79"/>
      <c r="B14" s="24" t="s">
        <v>49</v>
      </c>
      <c r="C14" s="24" t="s">
        <v>10</v>
      </c>
      <c r="D14" s="24" t="s">
        <v>1376</v>
      </c>
      <c r="E14" s="24" t="s">
        <v>1377</v>
      </c>
      <c r="F14" s="24" t="s">
        <v>1378</v>
      </c>
      <c r="G14" s="25" t="s">
        <v>3</v>
      </c>
      <c r="H14" s="24" t="s">
        <v>49</v>
      </c>
      <c r="I14" s="24" t="s">
        <v>10</v>
      </c>
      <c r="J14" s="24" t="s">
        <v>1376</v>
      </c>
      <c r="K14" s="24" t="s">
        <v>1377</v>
      </c>
      <c r="L14" s="24" t="s">
        <v>1378</v>
      </c>
      <c r="M14" s="25" t="s">
        <v>3</v>
      </c>
      <c r="N14" s="24" t="s">
        <v>49</v>
      </c>
      <c r="O14" s="24" t="s">
        <v>10</v>
      </c>
      <c r="P14" s="24" t="s">
        <v>1376</v>
      </c>
      <c r="Q14" s="24" t="s">
        <v>1377</v>
      </c>
      <c r="R14" s="24" t="s">
        <v>1378</v>
      </c>
      <c r="S14" s="25" t="s">
        <v>3</v>
      </c>
      <c r="T14" s="24" t="s">
        <v>49</v>
      </c>
      <c r="U14" s="24" t="s">
        <v>10</v>
      </c>
      <c r="V14" s="24" t="s">
        <v>1376</v>
      </c>
      <c r="W14" s="24" t="s">
        <v>1377</v>
      </c>
      <c r="X14" s="24" t="s">
        <v>1378</v>
      </c>
      <c r="Y14" s="25" t="s">
        <v>3</v>
      </c>
      <c r="Z14" s="24" t="s">
        <v>49</v>
      </c>
      <c r="AA14" s="24" t="s">
        <v>10</v>
      </c>
      <c r="AB14" s="24" t="s">
        <v>1376</v>
      </c>
      <c r="AC14" s="24" t="s">
        <v>1377</v>
      </c>
      <c r="AD14" s="24" t="s">
        <v>1378</v>
      </c>
      <c r="AE14" s="25" t="s">
        <v>3</v>
      </c>
      <c r="AF14" s="24" t="s">
        <v>49</v>
      </c>
      <c r="AG14" s="24" t="s">
        <v>10</v>
      </c>
      <c r="AH14" s="24" t="s">
        <v>1376</v>
      </c>
      <c r="AI14" s="24" t="s">
        <v>1377</v>
      </c>
      <c r="AJ14" s="24" t="s">
        <v>1378</v>
      </c>
      <c r="AK14" s="25" t="s">
        <v>3</v>
      </c>
    </row>
    <row r="15" spans="1:37" s="19" customFormat="1" ht="57" customHeight="1" x14ac:dyDescent="0.25">
      <c r="A15" s="23">
        <v>6</v>
      </c>
      <c r="B15" s="23">
        <f>COUNTIFS(STUDENTDATA!$A:$A, "6", STUDENTDATA!$F:$F, "SC", STUDENTDATA!$E:$E, "M", STUDENTDATA!$G:$G, "A")</f>
        <v>0</v>
      </c>
      <c r="C15" s="23">
        <f>COUNTIFS(STUDENTDATA!$A:$A, "6", STUDENTDATA!$F:$F, "SC", STUDENTDATA!$E:$E, "M", STUDENTDATA!$G:$G, "B")</f>
        <v>0</v>
      </c>
      <c r="D15" s="23">
        <f>COUNTIFS(STUDENTDATA!$A:$A, "6", STUDENTDATA!$F:$F, "SC", STUDENTDATA!$E:$E, "M", STUDENTDATA!$G:$G, "C")</f>
        <v>0</v>
      </c>
      <c r="E15" s="23">
        <f>COUNTIFS(STUDENTDATA!$A:$A, "6", STUDENTDATA!$F:$F, "SC", STUDENTDATA!$E:$E, "M", STUDENTDATA!$G:$G, "D")</f>
        <v>0</v>
      </c>
      <c r="F15" s="23">
        <f>COUNTIFS(STUDENTDATA!$A:$A, "6", STUDENTDATA!$F:$F, "SC", STUDENTDATA!$E:$E, "M", STUDENTDATA!$G:$G, "E")</f>
        <v>0</v>
      </c>
      <c r="G15" s="23">
        <f>B15+C15+D15+E15+F15</f>
        <v>0</v>
      </c>
      <c r="H15" s="23">
        <f>COUNTIFS(STUDENTDATA!$A:$A, "6", STUDENTDATA!$F:$F, "ST", STUDENTDATA!$E:$E, "M", STUDENTDATA!$G:$G, "A")</f>
        <v>0</v>
      </c>
      <c r="I15" s="23">
        <f>COUNTIFS(STUDENTDATA!$A:$A, "6", STUDENTDATA!$F:$F, "ST", STUDENTDATA!$E:$E, "M", STUDENTDATA!$G:$G, "B")</f>
        <v>0</v>
      </c>
      <c r="J15" s="23">
        <f>COUNTIFS(STUDENTDATA!$A:$A, "6", STUDENTDATA!$F:$F, "ST", STUDENTDATA!$E:$E, "M", STUDENTDATA!$G:$G, "C")</f>
        <v>0</v>
      </c>
      <c r="K15" s="23">
        <f>COUNTIFS(STUDENTDATA!$A:$A, "6", STUDENTDATA!$F:$F, "ST", STUDENTDATA!$E:$E, "M", STUDENTDATA!$G:$G, "D")</f>
        <v>0</v>
      </c>
      <c r="L15" s="23">
        <f>COUNTIFS(STUDENTDATA!$A:$A, "6", STUDENTDATA!$F:$F, "ST", STUDENTDATA!$E:$E, "M", STUDENTDATA!$G:$G, "E")</f>
        <v>0</v>
      </c>
      <c r="M15" s="23">
        <f t="shared" ref="M15" si="14">H15+I15+J15+K15+L15</f>
        <v>0</v>
      </c>
      <c r="N15" s="23">
        <f>COUNTIFS(STUDENTDATA!$A:$A, "6", STUDENTDATA!$F:$F, "OBC", STUDENTDATA!$E:$E, "M", STUDENTDATA!$G:$G, "A")</f>
        <v>0</v>
      </c>
      <c r="O15" s="23">
        <f>COUNTIFS(STUDENTDATA!$A:$A, "6", STUDENTDATA!$F:$F, "OBC", STUDENTDATA!$E:$E, "M", STUDENTDATA!$G:$G, "B")</f>
        <v>0</v>
      </c>
      <c r="P15" s="23">
        <f>COUNTIFS(STUDENTDATA!$A:$A, "6", STUDENTDATA!$F:$F, "OBC", STUDENTDATA!$E:$E, "M", STUDENTDATA!$G:$G, "C")</f>
        <v>0</v>
      </c>
      <c r="Q15" s="23">
        <f>COUNTIFS(STUDENTDATA!$A:$A, "6", STUDENTDATA!$F:$F, "OBC", STUDENTDATA!$E:$E, "M", STUDENTDATA!$G:$G, "D")</f>
        <v>0</v>
      </c>
      <c r="R15" s="23">
        <f>COUNTIFS(STUDENTDATA!$A:$A, "6", STUDENTDATA!$F:$F, "OBC", STUDENTDATA!$E:$E, "M", STUDENTDATA!$G:$G, "E")</f>
        <v>0</v>
      </c>
      <c r="S15" s="23">
        <f t="shared" ref="S15" si="15">N15+O15+P15+Q15+R15</f>
        <v>0</v>
      </c>
      <c r="T15" s="23">
        <f>COUNTIFS(STUDENTDATA!$A:$A, "6", STUDENTDATA!$F:$F, "SBC", STUDENTDATA!$E:$E, "M", STUDENTDATA!$G:$G, "A")</f>
        <v>0</v>
      </c>
      <c r="U15" s="23">
        <f>COUNTIFS(STUDENTDATA!$A:$A, "6", STUDENTDATA!$F:$F, "SBC", STUDENTDATA!$E:$E, "M", STUDENTDATA!$G:$G, "B")</f>
        <v>0</v>
      </c>
      <c r="V15" s="23">
        <f>COUNTIFS(STUDENTDATA!$A:$A, "6", STUDENTDATA!$F:$F, "SBC", STUDENTDATA!$E:$E, "M", STUDENTDATA!$G:$G, "C")</f>
        <v>0</v>
      </c>
      <c r="W15" s="23">
        <f>COUNTIFS(STUDENTDATA!$A:$A, "6", STUDENTDATA!$F:$F, "SBC", STUDENTDATA!$E:$E, "M", STUDENTDATA!$G:$G, "D")</f>
        <v>0</v>
      </c>
      <c r="X15" s="23">
        <f>COUNTIFS(STUDENTDATA!$A:$A, "6", STUDENTDATA!$F:$F, "SBC", STUDENTDATA!$E:$E, "M", STUDENTDATA!$G:$G, "E")</f>
        <v>0</v>
      </c>
      <c r="Y15" s="23">
        <f t="shared" ref="Y15" si="16">T15+U15+V15+W15+X15</f>
        <v>0</v>
      </c>
      <c r="Z15" s="23">
        <f>COUNTIFS(STUDENTDATA!$A:$A, "6", STUDENTDATA!$F:$F, "GEN", STUDENTDATA!$E:$E, "M", STUDENTDATA!$G:$G, "A")</f>
        <v>0</v>
      </c>
      <c r="AA15" s="23">
        <f>COUNTIFS(STUDENTDATA!$A:$A, "6", STUDENTDATA!$F:$F, "GEN", STUDENTDATA!$E:$E, "M", STUDENTDATA!$G:$G, "B")</f>
        <v>0</v>
      </c>
      <c r="AB15" s="23">
        <f>COUNTIFS(STUDENTDATA!$A:$A, "6", STUDENTDATA!$F:$F, "GEN", STUDENTDATA!$E:$E, "M", STUDENTDATA!$G:$G, "C")</f>
        <v>0</v>
      </c>
      <c r="AC15" s="23">
        <f>COUNTIFS(STUDENTDATA!$A:$A, "6", STUDENTDATA!$F:$F, "GEN", STUDENTDATA!$E:$E, "M", STUDENTDATA!$G:$G, "D")</f>
        <v>0</v>
      </c>
      <c r="AD15" s="23">
        <f>COUNTIFS(STUDENTDATA!$A:$A, "6", STUDENTDATA!$F:$F, "GEN", STUDENTDATA!$E:$E, "M", STUDENTDATA!$G:$G, "E")</f>
        <v>0</v>
      </c>
      <c r="AE15" s="23">
        <f t="shared" ref="AE15" si="17">Z15+AA15+AB15+AC15+AD15</f>
        <v>0</v>
      </c>
      <c r="AF15" s="23">
        <f>COUNTIFS(STUDENTDATA!$A:$A, "6", STUDENTDATA!$F:$F, "MIN", STUDENTDATA!$E:$E, "M", STUDENTDATA!$G:$G, "A")</f>
        <v>0</v>
      </c>
      <c r="AG15" s="23">
        <f>COUNTIFS(STUDENTDATA!$A:$A, "6", STUDENTDATA!$F:$F, "MIN", STUDENTDATA!$E:$E, "M", STUDENTDATA!$G:$G, "B")</f>
        <v>0</v>
      </c>
      <c r="AH15" s="23">
        <f>COUNTIFS(STUDENTDATA!$A:$A, "6", STUDENTDATA!$F:$F, "MIN", STUDENTDATA!$E:$E, "M", STUDENTDATA!$G:$G, "C")</f>
        <v>0</v>
      </c>
      <c r="AI15" s="23">
        <f>COUNTIFS(STUDENTDATA!$A:$A, "6", STUDENTDATA!$F:$F, "MIN", STUDENTDATA!$E:$E, "M", STUDENTDATA!$G:$G, "D")</f>
        <v>0</v>
      </c>
      <c r="AJ15" s="23">
        <f>COUNTIFS(STUDENTDATA!$A:$A, "6", STUDENTDATA!$F:$F, "MIN", STUDENTDATA!$E:$E, "M", STUDENTDATA!$G:$G, "E")</f>
        <v>0</v>
      </c>
      <c r="AK15" s="23">
        <f t="shared" ref="AK15" si="18">AF15+AG15+AH15+AI15+AJ15</f>
        <v>0</v>
      </c>
    </row>
    <row r="16" spans="1:37" s="19" customFormat="1" ht="57" customHeight="1" x14ac:dyDescent="0.25">
      <c r="A16" s="23">
        <v>7</v>
      </c>
      <c r="B16" s="23">
        <f>COUNTIFS(STUDENTDATA!$A:$A, "7", STUDENTDATA!$F:$F, "SC", STUDENTDATA!$E:$E, "M", STUDENTDATA!$G:$G, "A")</f>
        <v>0</v>
      </c>
      <c r="C16" s="23">
        <f>COUNTIFS(STUDENTDATA!$A:$A, "7", STUDENTDATA!$F:$F, "SC", STUDENTDATA!$E:$E, "M", STUDENTDATA!$G:$G, "B")</f>
        <v>0</v>
      </c>
      <c r="D16" s="23">
        <f>COUNTIFS(STUDENTDATA!$A:$A, "7", STUDENTDATA!$F:$F, "SC", STUDENTDATA!$E:$E, "M", STUDENTDATA!$G:$G, "C")</f>
        <v>0</v>
      </c>
      <c r="E16" s="23">
        <f>COUNTIFS(STUDENTDATA!$A:$A, "7", STUDENTDATA!$F:$F, "SC", STUDENTDATA!$E:$E, "M", STUDENTDATA!$G:$G, "D")</f>
        <v>0</v>
      </c>
      <c r="F16" s="23">
        <f>COUNTIFS(STUDENTDATA!$A:$A, "7", STUDENTDATA!$F:$F, "SC", STUDENTDATA!$E:$E, "M", STUDENTDATA!$G:$G, "E")</f>
        <v>0</v>
      </c>
      <c r="G16" s="23">
        <f>B16+C16+D16+E16+F16</f>
        <v>0</v>
      </c>
      <c r="H16" s="23">
        <f>COUNTIFS(STUDENTDATA!$A:$A, "7", STUDENTDATA!$F:$F, "ST", STUDENTDATA!$E:$E, "M", STUDENTDATA!$G:$G, "A")</f>
        <v>0</v>
      </c>
      <c r="I16" s="23">
        <f>COUNTIFS(STUDENTDATA!$A:$A, "7", STUDENTDATA!$F:$F, "ST", STUDENTDATA!$E:$E, "M", STUDENTDATA!$G:$G, "B")</f>
        <v>0</v>
      </c>
      <c r="J16" s="23">
        <f>COUNTIFS(STUDENTDATA!$A:$A, "7", STUDENTDATA!$F:$F, "ST", STUDENTDATA!$E:$E, "M", STUDENTDATA!$G:$G, "C")</f>
        <v>0</v>
      </c>
      <c r="K16" s="23">
        <f>COUNTIFS(STUDENTDATA!$A:$A, "7", STUDENTDATA!$F:$F, "ST", STUDENTDATA!$E:$E, "M", STUDENTDATA!$G:$G, "D")</f>
        <v>0</v>
      </c>
      <c r="L16" s="23">
        <f>COUNTIFS(STUDENTDATA!$A:$A, "7", STUDENTDATA!$F:$F, "ST", STUDENTDATA!$E:$E, "M", STUDENTDATA!$G:$G, "E")</f>
        <v>0</v>
      </c>
      <c r="M16" s="23">
        <f>H16+I16+J16+K16+L16</f>
        <v>0</v>
      </c>
      <c r="N16" s="23">
        <f>COUNTIFS(STUDENTDATA!$A:$A, "7", STUDENTDATA!$F:$F, "OBC", STUDENTDATA!$E:$E, "M", STUDENTDATA!$G:$G, "A")</f>
        <v>0</v>
      </c>
      <c r="O16" s="23">
        <f>COUNTIFS(STUDENTDATA!$A:$A, "7", STUDENTDATA!$F:$F, "OBC", STUDENTDATA!$E:$E, "M", STUDENTDATA!$G:$G, "B")</f>
        <v>0</v>
      </c>
      <c r="P16" s="23">
        <f>COUNTIFS(STUDENTDATA!$A:$A, "7", STUDENTDATA!$F:$F, "OBC", STUDENTDATA!$E:$E, "M", STUDENTDATA!$G:$G, "C")</f>
        <v>0</v>
      </c>
      <c r="Q16" s="23">
        <f>COUNTIFS(STUDENTDATA!$A:$A, "7", STUDENTDATA!$F:$F, "OBC", STUDENTDATA!$E:$E, "M", STUDENTDATA!$G:$G, "D")</f>
        <v>0</v>
      </c>
      <c r="R16" s="23">
        <f>COUNTIFS(STUDENTDATA!$A:$A, "7", STUDENTDATA!$F:$F, "OBC", STUDENTDATA!$E:$E, "M", STUDENTDATA!$G:$G, "E")</f>
        <v>0</v>
      </c>
      <c r="S16" s="23">
        <f>N16+O16+P16+Q16+R16</f>
        <v>0</v>
      </c>
      <c r="T16" s="23">
        <f>COUNTIFS(STUDENTDATA!$A:$A, "7", STUDENTDATA!$F:$F, "SBC", STUDENTDATA!$E:$E, "M", STUDENTDATA!$G:$G, "A")</f>
        <v>0</v>
      </c>
      <c r="U16" s="23">
        <f>COUNTIFS(STUDENTDATA!$A:$A, "7", STUDENTDATA!$F:$F, "SBC", STUDENTDATA!$E:$E, "M", STUDENTDATA!$G:$G, "B")</f>
        <v>0</v>
      </c>
      <c r="V16" s="23">
        <f>COUNTIFS(STUDENTDATA!$A:$A, "7", STUDENTDATA!$F:$F, "SBC", STUDENTDATA!$E:$E, "M", STUDENTDATA!$G:$G, "C")</f>
        <v>0</v>
      </c>
      <c r="W16" s="23">
        <f>COUNTIFS(STUDENTDATA!$A:$A, "7", STUDENTDATA!$F:$F, "SBC", STUDENTDATA!$E:$E, "M", STUDENTDATA!$G:$G, "D")</f>
        <v>0</v>
      </c>
      <c r="X16" s="23">
        <f>COUNTIFS(STUDENTDATA!$A:$A, "7", STUDENTDATA!$F:$F, "SBC", STUDENTDATA!$E:$E, "M", STUDENTDATA!$G:$G, "E")</f>
        <v>0</v>
      </c>
      <c r="Y16" s="23">
        <f>T16+U16+V16+W16+X16</f>
        <v>0</v>
      </c>
      <c r="Z16" s="23">
        <f>COUNTIFS(STUDENTDATA!$A:$A, "7", STUDENTDATA!$F:$F, "GEN", STUDENTDATA!$E:$E, "M", STUDENTDATA!$G:$G, "A")</f>
        <v>0</v>
      </c>
      <c r="AA16" s="23">
        <f>COUNTIFS(STUDENTDATA!$A:$A, "7", STUDENTDATA!$F:$F, "GEN", STUDENTDATA!$E:$E, "M", STUDENTDATA!$G:$G, "B")</f>
        <v>0</v>
      </c>
      <c r="AB16" s="23">
        <f>COUNTIFS(STUDENTDATA!$A:$A, "7", STUDENTDATA!$F:$F, "GEN", STUDENTDATA!$E:$E, "M", STUDENTDATA!$G:$G, "C")</f>
        <v>0</v>
      </c>
      <c r="AC16" s="23">
        <f>COUNTIFS(STUDENTDATA!$A:$A, "7", STUDENTDATA!$F:$F, "GEN", STUDENTDATA!$E:$E, "M", STUDENTDATA!$G:$G, "D")</f>
        <v>0</v>
      </c>
      <c r="AD16" s="23">
        <f>COUNTIFS(STUDENTDATA!$A:$A, "7", STUDENTDATA!$F:$F, "GEN", STUDENTDATA!$E:$E, "M", STUDENTDATA!$G:$G, "E")</f>
        <v>0</v>
      </c>
      <c r="AE16" s="23">
        <f>Z16+AA16+AB16+AC16+AD16</f>
        <v>0</v>
      </c>
      <c r="AF16" s="23">
        <f>COUNTIFS(STUDENTDATA!$A:$A, "7", STUDENTDATA!$F:$F, "MIN", STUDENTDATA!$E:$E, "M", STUDENTDATA!$G:$G, "A")</f>
        <v>0</v>
      </c>
      <c r="AG16" s="23">
        <f>COUNTIFS(STUDENTDATA!$A:$A, "7", STUDENTDATA!$F:$F, "MIN", STUDENTDATA!$E:$E, "M", STUDENTDATA!$G:$G, "B")</f>
        <v>0</v>
      </c>
      <c r="AH16" s="23">
        <f>COUNTIFS(STUDENTDATA!$A:$A, "7", STUDENTDATA!$F:$F, "MIN", STUDENTDATA!$E:$E, "M", STUDENTDATA!$G:$G, "C")</f>
        <v>0</v>
      </c>
      <c r="AI16" s="23">
        <f>COUNTIFS(STUDENTDATA!$A:$A, "7", STUDENTDATA!$F:$F, "MIN", STUDENTDATA!$E:$E, "M", STUDENTDATA!$G:$G, "D")</f>
        <v>0</v>
      </c>
      <c r="AJ16" s="23">
        <f>COUNTIFS(STUDENTDATA!$A:$A, "7", STUDENTDATA!$F:$F, "MIN", STUDENTDATA!$E:$E, "M", STUDENTDATA!$G:$G, "E")</f>
        <v>0</v>
      </c>
      <c r="AK16" s="23">
        <f>AF16+AG16+AH16+AI16+AJ16</f>
        <v>0</v>
      </c>
    </row>
    <row r="17" spans="1:43" s="19" customFormat="1" ht="57" customHeight="1" x14ac:dyDescent="0.25">
      <c r="A17" s="23">
        <v>8</v>
      </c>
      <c r="B17" s="23">
        <f>COUNTIFS(STUDENTDATA!$A:$A, "8", STUDENTDATA!$F:$F, "SC", STUDENTDATA!$E:$E, "M", STUDENTDATA!$G:$G, "A")</f>
        <v>0</v>
      </c>
      <c r="C17" s="23">
        <f>COUNTIFS(STUDENTDATA!$A:$A, "8", STUDENTDATA!$F:$F, "SC", STUDENTDATA!$E:$E, "M", STUDENTDATA!$G:$G, "B")</f>
        <v>0</v>
      </c>
      <c r="D17" s="23">
        <f>COUNTIFS(STUDENTDATA!$A:$A, "8", STUDENTDATA!$F:$F, "SC", STUDENTDATA!$E:$E, "M", STUDENTDATA!$G:$G, "C")</f>
        <v>0</v>
      </c>
      <c r="E17" s="23">
        <f>COUNTIFS(STUDENTDATA!$A:$A, "8", STUDENTDATA!$F:$F, "SC", STUDENTDATA!$E:$E, "M", STUDENTDATA!$G:$G, "D")</f>
        <v>0</v>
      </c>
      <c r="F17" s="23">
        <f>COUNTIFS(STUDENTDATA!$A:$A, "8", STUDENTDATA!$F:$F, "SC", STUDENTDATA!$E:$E, "M", STUDENTDATA!$G:$G, "E")</f>
        <v>0</v>
      </c>
      <c r="G17" s="23">
        <f t="shared" ref="G17" si="19">B17+C17+D17+E17+F17</f>
        <v>0</v>
      </c>
      <c r="H17" s="23">
        <f>COUNTIFS(STUDENTDATA!$A:$A, "8", STUDENTDATA!$F:$F, "ST", STUDENTDATA!$E:$E, "M", STUDENTDATA!$G:$G, "A")</f>
        <v>0</v>
      </c>
      <c r="I17" s="23">
        <f>COUNTIFS(STUDENTDATA!$A:$A, "8", STUDENTDATA!$F:$F, "ST", STUDENTDATA!$E:$E, "M", STUDENTDATA!$G:$G, "B")</f>
        <v>0</v>
      </c>
      <c r="J17" s="23">
        <f>COUNTIFS(STUDENTDATA!$A:$A, "8", STUDENTDATA!$F:$F, "ST", STUDENTDATA!$E:$E, "M", STUDENTDATA!$G:$G, "C")</f>
        <v>0</v>
      </c>
      <c r="K17" s="23">
        <f>COUNTIFS(STUDENTDATA!$A:$A, "8", STUDENTDATA!$F:$F, "ST", STUDENTDATA!$E:$E, "M", STUDENTDATA!$G:$G, "D")</f>
        <v>0</v>
      </c>
      <c r="L17" s="23">
        <f>COUNTIFS(STUDENTDATA!$A:$A, "8", STUDENTDATA!$F:$F, "ST", STUDENTDATA!$E:$E, "M", STUDENTDATA!$G:$G, "E")</f>
        <v>0</v>
      </c>
      <c r="M17" s="23">
        <f t="shared" ref="M17" si="20">H17+I17+J17+K17+L17</f>
        <v>0</v>
      </c>
      <c r="N17" s="23">
        <f>COUNTIFS(STUDENTDATA!$A:$A, "8", STUDENTDATA!$F:$F, "OBC", STUDENTDATA!$E:$E, "M", STUDENTDATA!$G:$G, "A")</f>
        <v>0</v>
      </c>
      <c r="O17" s="23">
        <f>COUNTIFS(STUDENTDATA!$A:$A, "8", STUDENTDATA!$F:$F, "OBC", STUDENTDATA!$E:$E, "M", STUDENTDATA!$G:$G, "B")</f>
        <v>0</v>
      </c>
      <c r="P17" s="23">
        <f>COUNTIFS(STUDENTDATA!$A:$A, "8", STUDENTDATA!$F:$F, "OBC", STUDENTDATA!$E:$E, "M", STUDENTDATA!$G:$G, "C")</f>
        <v>0</v>
      </c>
      <c r="Q17" s="23">
        <f>COUNTIFS(STUDENTDATA!$A:$A, "8", STUDENTDATA!$F:$F, "OBC", STUDENTDATA!$E:$E, "M", STUDENTDATA!$G:$G, "D")</f>
        <v>0</v>
      </c>
      <c r="R17" s="23">
        <f>COUNTIFS(STUDENTDATA!$A:$A, "8", STUDENTDATA!$F:$F, "OBC", STUDENTDATA!$E:$E, "M", STUDENTDATA!$G:$G, "E")</f>
        <v>0</v>
      </c>
      <c r="S17" s="23">
        <f t="shared" ref="S17" si="21">N17+O17+P17+Q17+R17</f>
        <v>0</v>
      </c>
      <c r="T17" s="23">
        <f>COUNTIFS(STUDENTDATA!$A:$A, "8", STUDENTDATA!$F:$F, "SBC", STUDENTDATA!$E:$E, "M", STUDENTDATA!$G:$G, "A")</f>
        <v>0</v>
      </c>
      <c r="U17" s="23">
        <f>COUNTIFS(STUDENTDATA!$A:$A, "8", STUDENTDATA!$F:$F, "SBC", STUDENTDATA!$E:$E, "M", STUDENTDATA!$G:$G, "B")</f>
        <v>0</v>
      </c>
      <c r="V17" s="23">
        <f>COUNTIFS(STUDENTDATA!$A:$A, "8", STUDENTDATA!$F:$F, "SBC", STUDENTDATA!$E:$E, "M", STUDENTDATA!$G:$G, "C")</f>
        <v>0</v>
      </c>
      <c r="W17" s="23">
        <f>COUNTIFS(STUDENTDATA!$A:$A, "8", STUDENTDATA!$F:$F, "SBC", STUDENTDATA!$E:$E, "M", STUDENTDATA!$G:$G, "D")</f>
        <v>0</v>
      </c>
      <c r="X17" s="23">
        <f>COUNTIFS(STUDENTDATA!$A:$A, "8", STUDENTDATA!$F:$F, "SBC", STUDENTDATA!$E:$E, "M", STUDENTDATA!$G:$G, "E")</f>
        <v>0</v>
      </c>
      <c r="Y17" s="23">
        <f t="shared" ref="Y17" si="22">T17+U17+V17+W17+X17</f>
        <v>0</v>
      </c>
      <c r="Z17" s="23">
        <f>COUNTIFS(STUDENTDATA!$A:$A, "8", STUDENTDATA!$F:$F, "GEN", STUDENTDATA!$E:$E, "M", STUDENTDATA!$G:$G, "A")</f>
        <v>0</v>
      </c>
      <c r="AA17" s="23">
        <f>COUNTIFS(STUDENTDATA!$A:$A, "8", STUDENTDATA!$F:$F, "GEN", STUDENTDATA!$E:$E, "M", STUDENTDATA!$G:$G, "B")</f>
        <v>0</v>
      </c>
      <c r="AB17" s="23">
        <f>COUNTIFS(STUDENTDATA!$A:$A, "8", STUDENTDATA!$F:$F, "GEN", STUDENTDATA!$E:$E, "M", STUDENTDATA!$G:$G, "C")</f>
        <v>0</v>
      </c>
      <c r="AC17" s="23">
        <f>COUNTIFS(STUDENTDATA!$A:$A, "8", STUDENTDATA!$F:$F, "GEN", STUDENTDATA!$E:$E, "M", STUDENTDATA!$G:$G, "D")</f>
        <v>0</v>
      </c>
      <c r="AD17" s="23">
        <f>COUNTIFS(STUDENTDATA!$A:$A, "8", STUDENTDATA!$F:$F, "GEN", STUDENTDATA!$E:$E, "M", STUDENTDATA!$G:$G, "E")</f>
        <v>0</v>
      </c>
      <c r="AE17" s="23">
        <f t="shared" ref="AE17" si="23">Z17+AA17+AB17+AC17+AD17</f>
        <v>0</v>
      </c>
      <c r="AF17" s="23">
        <f>COUNTIFS(STUDENTDATA!$A:$A, "8", STUDENTDATA!$F:$F, "MIN", STUDENTDATA!$E:$E, "M", STUDENTDATA!$G:$G, "A")</f>
        <v>0</v>
      </c>
      <c r="AG17" s="23">
        <f>COUNTIFS(STUDENTDATA!$A:$A, "8", STUDENTDATA!$F:$F, "MIN", STUDENTDATA!$E:$E, "M", STUDENTDATA!$G:$G, "B")</f>
        <v>0</v>
      </c>
      <c r="AH17" s="23">
        <f>COUNTIFS(STUDENTDATA!$A:$A, "8", STUDENTDATA!$F:$F, "MIN", STUDENTDATA!$E:$E, "M", STUDENTDATA!$G:$G, "C")</f>
        <v>0</v>
      </c>
      <c r="AI17" s="23">
        <f>COUNTIFS(STUDENTDATA!$A:$A, "8", STUDENTDATA!$F:$F, "MIN", STUDENTDATA!$E:$E, "M", STUDENTDATA!$G:$G, "D")</f>
        <v>0</v>
      </c>
      <c r="AJ17" s="23">
        <f>COUNTIFS(STUDENTDATA!$A:$A, "8", STUDENTDATA!$F:$F, "MIN", STUDENTDATA!$E:$E, "M", STUDENTDATA!$G:$G, "E")</f>
        <v>0</v>
      </c>
      <c r="AK17" s="23">
        <f t="shared" ref="AK17" si="24">AF17+AG17+AH17+AI17+AJ17</f>
        <v>0</v>
      </c>
    </row>
    <row r="19" spans="1:43" x14ac:dyDescent="0.25">
      <c r="AL19" s="40"/>
      <c r="AM19" s="40"/>
      <c r="AN19" s="40"/>
      <c r="AO19" s="40"/>
      <c r="AP19" s="40"/>
      <c r="AQ19" s="40"/>
    </row>
    <row r="20" spans="1:43" ht="23.25" x14ac:dyDescent="0.25">
      <c r="A20" s="102" t="s">
        <v>1388</v>
      </c>
      <c r="B20" s="103" t="s">
        <v>1386</v>
      </c>
      <c r="C20" s="104"/>
      <c r="D20" s="104"/>
      <c r="E20" s="104"/>
      <c r="F20" s="104"/>
      <c r="G20" s="104"/>
      <c r="H20" s="104"/>
      <c r="I20" s="104"/>
      <c r="J20" s="104"/>
      <c r="K20" s="104"/>
      <c r="L20" s="104"/>
      <c r="M20" s="104"/>
      <c r="N20" s="104"/>
      <c r="O20" s="104"/>
      <c r="P20" s="104"/>
      <c r="Q20" s="104"/>
      <c r="R20" s="104"/>
      <c r="S20" s="104"/>
      <c r="T20" s="104"/>
      <c r="U20" s="104"/>
      <c r="V20" s="104"/>
      <c r="W20" s="104"/>
      <c r="X20" s="104"/>
      <c r="Y20" s="104"/>
      <c r="Z20" s="104"/>
      <c r="AA20" s="104"/>
      <c r="AB20" s="104"/>
      <c r="AC20" s="104"/>
      <c r="AD20" s="104"/>
      <c r="AE20" s="104"/>
      <c r="AF20" s="104"/>
      <c r="AG20" s="104"/>
      <c r="AH20" s="104"/>
      <c r="AI20" s="104"/>
      <c r="AJ20" s="104"/>
      <c r="AK20" s="113"/>
      <c r="AL20" s="46"/>
      <c r="AM20" s="46"/>
      <c r="AN20" s="46"/>
      <c r="AO20" s="46"/>
      <c r="AP20" s="46"/>
      <c r="AQ20" s="46"/>
    </row>
    <row r="21" spans="1:43" ht="25.5" customHeight="1" x14ac:dyDescent="0.25">
      <c r="A21" s="102"/>
      <c r="B21" s="82" t="s">
        <v>4</v>
      </c>
      <c r="C21" s="82"/>
      <c r="D21" s="82"/>
      <c r="E21" s="82"/>
      <c r="F21" s="82"/>
      <c r="G21" s="82"/>
      <c r="H21" s="82" t="s">
        <v>5</v>
      </c>
      <c r="I21" s="82"/>
      <c r="J21" s="82"/>
      <c r="K21" s="82"/>
      <c r="L21" s="82"/>
      <c r="M21" s="82"/>
      <c r="N21" s="82" t="s">
        <v>6</v>
      </c>
      <c r="O21" s="82"/>
      <c r="P21" s="82"/>
      <c r="Q21" s="82"/>
      <c r="R21" s="82"/>
      <c r="S21" s="82"/>
      <c r="T21" s="82" t="s">
        <v>7</v>
      </c>
      <c r="U21" s="82"/>
      <c r="V21" s="82"/>
      <c r="W21" s="82"/>
      <c r="X21" s="82"/>
      <c r="Y21" s="82"/>
      <c r="Z21" s="82" t="s">
        <v>8</v>
      </c>
      <c r="AA21" s="82"/>
      <c r="AB21" s="82"/>
      <c r="AC21" s="82"/>
      <c r="AD21" s="82"/>
      <c r="AE21" s="105"/>
      <c r="AF21" s="82" t="s">
        <v>9</v>
      </c>
      <c r="AG21" s="82"/>
      <c r="AH21" s="82"/>
      <c r="AI21" s="82"/>
      <c r="AJ21" s="82"/>
      <c r="AK21" s="82"/>
      <c r="AL21" s="110"/>
      <c r="AM21" s="110"/>
      <c r="AN21" s="110"/>
      <c r="AO21" s="110"/>
      <c r="AP21" s="110"/>
      <c r="AQ21" s="110"/>
    </row>
    <row r="22" spans="1:43" s="17" customFormat="1" ht="30" customHeight="1" x14ac:dyDescent="0.25">
      <c r="A22" s="102"/>
      <c r="B22" s="18" t="s">
        <v>49</v>
      </c>
      <c r="C22" s="18" t="s">
        <v>10</v>
      </c>
      <c r="D22" s="18" t="s">
        <v>1376</v>
      </c>
      <c r="E22" s="18" t="s">
        <v>1377</v>
      </c>
      <c r="F22" s="18" t="s">
        <v>1378</v>
      </c>
      <c r="G22" s="26" t="s">
        <v>3</v>
      </c>
      <c r="H22" s="18" t="s">
        <v>49</v>
      </c>
      <c r="I22" s="18" t="s">
        <v>10</v>
      </c>
      <c r="J22" s="18" t="s">
        <v>1376</v>
      </c>
      <c r="K22" s="18" t="s">
        <v>1377</v>
      </c>
      <c r="L22" s="18" t="s">
        <v>1378</v>
      </c>
      <c r="M22" s="26" t="s">
        <v>3</v>
      </c>
      <c r="N22" s="18" t="s">
        <v>49</v>
      </c>
      <c r="O22" s="18" t="s">
        <v>10</v>
      </c>
      <c r="P22" s="18" t="s">
        <v>1376</v>
      </c>
      <c r="Q22" s="18" t="s">
        <v>1377</v>
      </c>
      <c r="R22" s="18" t="s">
        <v>1378</v>
      </c>
      <c r="S22" s="26" t="s">
        <v>3</v>
      </c>
      <c r="T22" s="18" t="s">
        <v>49</v>
      </c>
      <c r="U22" s="18" t="s">
        <v>10</v>
      </c>
      <c r="V22" s="18" t="s">
        <v>1376</v>
      </c>
      <c r="W22" s="18" t="s">
        <v>1377</v>
      </c>
      <c r="X22" s="18" t="s">
        <v>1378</v>
      </c>
      <c r="Y22" s="26" t="s">
        <v>3</v>
      </c>
      <c r="Z22" s="18" t="s">
        <v>49</v>
      </c>
      <c r="AA22" s="18" t="s">
        <v>10</v>
      </c>
      <c r="AB22" s="18" t="s">
        <v>1376</v>
      </c>
      <c r="AC22" s="18" t="s">
        <v>1377</v>
      </c>
      <c r="AD22" s="18" t="s">
        <v>1378</v>
      </c>
      <c r="AE22" s="47" t="s">
        <v>3</v>
      </c>
      <c r="AF22" s="18" t="s">
        <v>49</v>
      </c>
      <c r="AG22" s="18" t="s">
        <v>10</v>
      </c>
      <c r="AH22" s="18" t="s">
        <v>1376</v>
      </c>
      <c r="AI22" s="18" t="s">
        <v>1377</v>
      </c>
      <c r="AJ22" s="18" t="s">
        <v>1378</v>
      </c>
      <c r="AK22" s="26" t="s">
        <v>3</v>
      </c>
      <c r="AL22" s="48"/>
      <c r="AM22" s="48"/>
      <c r="AN22" s="48"/>
      <c r="AO22" s="48"/>
      <c r="AP22" s="48"/>
      <c r="AQ22" s="16"/>
    </row>
    <row r="23" spans="1:43" s="19" customFormat="1" ht="57" customHeight="1" x14ac:dyDescent="0.25">
      <c r="A23" s="23">
        <v>6</v>
      </c>
      <c r="B23" s="23">
        <f>COUNTIFS(STUDENTDATA!$A:$A, "6", STUDENTDATA!$F:$F, "SC", STUDENTDATA!$E:$E, "F", STUDENTDATA!$G:$G, "A")</f>
        <v>0</v>
      </c>
      <c r="C23" s="23">
        <f>COUNTIFS(STUDENTDATA!$A:$A, "6", STUDENTDATA!$F:$F, "SC", STUDENTDATA!$E:$E, "F", STUDENTDATA!$G:$G, "B")</f>
        <v>0</v>
      </c>
      <c r="D23" s="23">
        <f>COUNTIFS(STUDENTDATA!$A:$A, "6", STUDENTDATA!$F:$F, "SC", STUDENTDATA!$E:$E, "F", STUDENTDATA!$G:$G, "C")</f>
        <v>0</v>
      </c>
      <c r="E23" s="23">
        <f>COUNTIFS(STUDENTDATA!$A:$A, "6", STUDENTDATA!$F:$F, "SC", STUDENTDATA!$E:$E, "F", STUDENTDATA!$G:$G, "D")</f>
        <v>0</v>
      </c>
      <c r="F23" s="23">
        <f>COUNTIFS(STUDENTDATA!$A:$A, "6", STUDENTDATA!$F:$F, "SC", STUDENTDATA!$E:$E, "F", STUDENTDATA!$G:$G, "E")</f>
        <v>0</v>
      </c>
      <c r="G23" s="23">
        <f>B23+C23+D23+E23+F23</f>
        <v>0</v>
      </c>
      <c r="H23" s="23">
        <f>COUNTIFS(STUDENTDATA!$A:$A, "6", STUDENTDATA!$F:$F, "ST", STUDENTDATA!$E:$E, "F", STUDENTDATA!$G:$G, "A")</f>
        <v>0</v>
      </c>
      <c r="I23" s="23">
        <f>COUNTIFS(STUDENTDATA!$A:$A, "6", STUDENTDATA!$F:$F, "ST", STUDENTDATA!$E:$E, "F", STUDENTDATA!$G:$G, "B")</f>
        <v>0</v>
      </c>
      <c r="J23" s="23">
        <f>COUNTIFS(STUDENTDATA!$A:$A, "6", STUDENTDATA!$F:$F, "ST", STUDENTDATA!$E:$E, "F", STUDENTDATA!$G:$G, "C")</f>
        <v>0</v>
      </c>
      <c r="K23" s="23">
        <f>COUNTIFS(STUDENTDATA!$A:$A, "6", STUDENTDATA!$F:$F, "ST", STUDENTDATA!$E:$E, "F", STUDENTDATA!$G:$G, "D")</f>
        <v>0</v>
      </c>
      <c r="L23" s="23">
        <f>COUNTIFS(STUDENTDATA!$A:$A, "6", STUDENTDATA!$F:$F, "ST", STUDENTDATA!$E:$E, "F", STUDENTDATA!$G:$G, "E")</f>
        <v>0</v>
      </c>
      <c r="M23" s="23">
        <f t="shared" ref="M23" si="25">H23+I23+J23+K23+L23</f>
        <v>0</v>
      </c>
      <c r="N23" s="23">
        <f>COUNTIFS(STUDENTDATA!$A:$A, "6", STUDENTDATA!$F:$F, "OBC", STUDENTDATA!$E:$E, "F", STUDENTDATA!$G:$G, "A")</f>
        <v>0</v>
      </c>
      <c r="O23" s="23">
        <f>COUNTIFS(STUDENTDATA!$A:$A, "6", STUDENTDATA!$F:$F, "OBC", STUDENTDATA!$E:$E, "F", STUDENTDATA!$G:$G, "B")</f>
        <v>0</v>
      </c>
      <c r="P23" s="23">
        <f>COUNTIFS(STUDENTDATA!$A:$A, "6", STUDENTDATA!$F:$F, "OBC", STUDENTDATA!$E:$E, "F", STUDENTDATA!$G:$G, "C")</f>
        <v>0</v>
      </c>
      <c r="Q23" s="23">
        <f>COUNTIFS(STUDENTDATA!$A:$A, "6", STUDENTDATA!$F:$F, "OBC", STUDENTDATA!$E:$E, "F", STUDENTDATA!$G:$G, "D")</f>
        <v>0</v>
      </c>
      <c r="R23" s="23">
        <f>COUNTIFS(STUDENTDATA!$A:$A, "6", STUDENTDATA!$F:$F, "OBC", STUDENTDATA!$E:$E, "F", STUDENTDATA!$G:$G, "E")</f>
        <v>0</v>
      </c>
      <c r="S23" s="23">
        <f t="shared" ref="S23" si="26">N23+O23+P23+Q23+R23</f>
        <v>0</v>
      </c>
      <c r="T23" s="23">
        <f>COUNTIFS(STUDENTDATA!$A:$A, "6", STUDENTDATA!$F:$F, "SBC", STUDENTDATA!$E:$E, "F", STUDENTDATA!$G:$G, "A")</f>
        <v>0</v>
      </c>
      <c r="U23" s="23">
        <f>COUNTIFS(STUDENTDATA!$A:$A, "6", STUDENTDATA!$F:$F, "SBC", STUDENTDATA!$E:$E, "F", STUDENTDATA!$G:$G, "B")</f>
        <v>0</v>
      </c>
      <c r="V23" s="23">
        <f>COUNTIFS(STUDENTDATA!$A:$A, "6", STUDENTDATA!$F:$F, "SBC", STUDENTDATA!$E:$E, "F", STUDENTDATA!$G:$G, "C")</f>
        <v>0</v>
      </c>
      <c r="W23" s="23">
        <f>COUNTIFS(STUDENTDATA!$A:$A, "6", STUDENTDATA!$F:$F, "SBC", STUDENTDATA!$E:$E, "F", STUDENTDATA!$G:$G, "D")</f>
        <v>0</v>
      </c>
      <c r="X23" s="23">
        <f>COUNTIFS(STUDENTDATA!$A:$A, "6", STUDENTDATA!$F:$F, "SBC", STUDENTDATA!$E:$E, "F", STUDENTDATA!$G:$G, "E")</f>
        <v>0</v>
      </c>
      <c r="Y23" s="23">
        <f t="shared" ref="Y23" si="27">T23+U23+V23+W23+X23</f>
        <v>0</v>
      </c>
      <c r="Z23" s="23">
        <f>COUNTIFS(STUDENTDATA!$A:$A, "6", STUDENTDATA!$F:$F, "GEN", STUDENTDATA!$E:$E, "F", STUDENTDATA!$G:$G, "A")</f>
        <v>0</v>
      </c>
      <c r="AA23" s="23">
        <f>COUNTIFS(STUDENTDATA!$A:$A, "6", STUDENTDATA!$F:$F, "GEN", STUDENTDATA!$E:$E, "F", STUDENTDATA!$G:$G, "B")</f>
        <v>0</v>
      </c>
      <c r="AB23" s="23">
        <f>COUNTIFS(STUDENTDATA!$A:$A, "6", STUDENTDATA!$F:$F, "GEN", STUDENTDATA!$E:$E, "F", STUDENTDATA!$G:$G, "C")</f>
        <v>0</v>
      </c>
      <c r="AC23" s="23">
        <f>COUNTIFS(STUDENTDATA!$A:$A, "6", STUDENTDATA!$F:$F, "GEN", STUDENTDATA!$E:$E, "F", STUDENTDATA!$G:$G, "D")</f>
        <v>0</v>
      </c>
      <c r="AD23" s="23">
        <f>COUNTIFS(STUDENTDATA!$A:$A, "6", STUDENTDATA!$F:$F, "GEN", STUDENTDATA!$E:$E, "F", STUDENTDATA!$G:$G, "E")</f>
        <v>0</v>
      </c>
      <c r="AE23" s="49">
        <f t="shared" ref="AE23" si="28">Z23+AA23+AB23+AC23+AD23</f>
        <v>0</v>
      </c>
      <c r="AF23" s="23">
        <f>COUNTIFS(STUDENTDATA!$A:$A, "6", STUDENTDATA!$F:$F, "MIN", STUDENTDATA!$E:$E, "F", STUDENTDATA!$G:$G, "A")</f>
        <v>0</v>
      </c>
      <c r="AG23" s="23">
        <f>COUNTIFS(STUDENTDATA!$A:$A, "6", STUDENTDATA!$F:$F, "MIN", STUDENTDATA!$E:$E, "F", STUDENTDATA!$G:$G, "B")</f>
        <v>0</v>
      </c>
      <c r="AH23" s="23">
        <f>COUNTIFS(STUDENTDATA!$A:$A, "6", STUDENTDATA!$F:$F, "MIN", STUDENTDATA!$E:$E, "F", STUDENTDATA!$G:$G, "C")</f>
        <v>0</v>
      </c>
      <c r="AI23" s="23">
        <f>COUNTIFS(STUDENTDATA!$A:$A, "6", STUDENTDATA!$F:$F, "MIN", STUDENTDATA!$E:$E, "F", STUDENTDATA!$G:$G, "D")</f>
        <v>0</v>
      </c>
      <c r="AJ23" s="23">
        <f>COUNTIFS(STUDENTDATA!$A:$A, "6", STUDENTDATA!$F:$F, "MIN", STUDENTDATA!$E:$E, "F", STUDENTDATA!$G:$G, "E")</f>
        <v>0</v>
      </c>
      <c r="AK23" s="23">
        <f t="shared" ref="AK23" si="29">AF23+AG23+AH23+AI23+AJ23</f>
        <v>0</v>
      </c>
      <c r="AL23" s="50"/>
      <c r="AM23" s="50"/>
      <c r="AN23" s="50"/>
      <c r="AO23" s="50"/>
      <c r="AP23" s="50"/>
      <c r="AQ23" s="50"/>
    </row>
    <row r="24" spans="1:43" s="19" customFormat="1" ht="57" customHeight="1" x14ac:dyDescent="0.25">
      <c r="A24" s="23">
        <v>7</v>
      </c>
      <c r="B24" s="23">
        <f>COUNTIFS(STUDENTDATA!$A:$A, "7", STUDENTDATA!$F:$F, "SC", STUDENTDATA!$E:$E, "F", STUDENTDATA!$G:$G, "A")</f>
        <v>0</v>
      </c>
      <c r="C24" s="23">
        <f>COUNTIFS(STUDENTDATA!$A:$A, "7", STUDENTDATA!$F:$F, "SC", STUDENTDATA!$E:$E, "F", STUDENTDATA!$G:$G, "B")</f>
        <v>0</v>
      </c>
      <c r="D24" s="23">
        <f>COUNTIFS(STUDENTDATA!$A:$A, "7", STUDENTDATA!$F:$F, "SC", STUDENTDATA!$E:$E, "F", STUDENTDATA!$G:$G, "C")</f>
        <v>0</v>
      </c>
      <c r="E24" s="23">
        <f>COUNTIFS(STUDENTDATA!$A:$A, "7", STUDENTDATA!$F:$F, "SC", STUDENTDATA!$E:$E, "F", STUDENTDATA!$G:$G, "D")</f>
        <v>0</v>
      </c>
      <c r="F24" s="23">
        <f>COUNTIFS(STUDENTDATA!$A:$A, "7", STUDENTDATA!$F:$F, "SC", STUDENTDATA!$E:$E, "F", STUDENTDATA!$G:$G, "E")</f>
        <v>0</v>
      </c>
      <c r="G24" s="23">
        <f>B24+C24+D24+E24+F24</f>
        <v>0</v>
      </c>
      <c r="H24" s="23">
        <f>COUNTIFS(STUDENTDATA!$A:$A, "7", STUDENTDATA!$F:$F, "ST", STUDENTDATA!$E:$E, "F", STUDENTDATA!$G:$G, "A")</f>
        <v>0</v>
      </c>
      <c r="I24" s="23">
        <f>COUNTIFS(STUDENTDATA!$A:$A, "7", STUDENTDATA!$F:$F, "ST", STUDENTDATA!$E:$E, "F", STUDENTDATA!$G:$G, "B")</f>
        <v>0</v>
      </c>
      <c r="J24" s="23">
        <f>COUNTIFS(STUDENTDATA!$A:$A, "7", STUDENTDATA!$F:$F, "ST", STUDENTDATA!$E:$E, "F", STUDENTDATA!$G:$G, "C")</f>
        <v>0</v>
      </c>
      <c r="K24" s="23">
        <f>COUNTIFS(STUDENTDATA!$A:$A, "7", STUDENTDATA!$F:$F, "ST", STUDENTDATA!$E:$E, "F", STUDENTDATA!$G:$G, "D")</f>
        <v>0</v>
      </c>
      <c r="L24" s="23">
        <f>COUNTIFS(STUDENTDATA!$A:$A, "7", STUDENTDATA!$F:$F, "ST", STUDENTDATA!$E:$E, "F", STUDENTDATA!$G:$G, "E")</f>
        <v>0</v>
      </c>
      <c r="M24" s="23">
        <f>H24+I24+J24+K24+L24</f>
        <v>0</v>
      </c>
      <c r="N24" s="23">
        <f>COUNTIFS(STUDENTDATA!$A:$A, "7", STUDENTDATA!$F:$F, "OBC", STUDENTDATA!$E:$E, "F", STUDENTDATA!$G:$G, "A")</f>
        <v>0</v>
      </c>
      <c r="O24" s="23">
        <f>COUNTIFS(STUDENTDATA!$A:$A, "7", STUDENTDATA!$F:$F, "OBC", STUDENTDATA!$E:$E, "F", STUDENTDATA!$G:$G, "B")</f>
        <v>0</v>
      </c>
      <c r="P24" s="23">
        <f>COUNTIFS(STUDENTDATA!$A:$A, "7", STUDENTDATA!$F:$F, "OBC", STUDENTDATA!$E:$E, "F", STUDENTDATA!$G:$G, "C")</f>
        <v>0</v>
      </c>
      <c r="Q24" s="23">
        <f>COUNTIFS(STUDENTDATA!$A:$A, "7", STUDENTDATA!$F:$F, "OBC", STUDENTDATA!$E:$E, "F", STUDENTDATA!$G:$G, "D")</f>
        <v>0</v>
      </c>
      <c r="R24" s="23">
        <f>COUNTIFS(STUDENTDATA!$A:$A, "7", STUDENTDATA!$F:$F, "OBC", STUDENTDATA!$E:$E, "F", STUDENTDATA!$G:$G, "E")</f>
        <v>0</v>
      </c>
      <c r="S24" s="23">
        <f>N24+O24+P24+Q24+R24</f>
        <v>0</v>
      </c>
      <c r="T24" s="23">
        <f>COUNTIFS(STUDENTDATA!$A:$A, "7", STUDENTDATA!$F:$F, "SBC", STUDENTDATA!$E:$E, "F", STUDENTDATA!$G:$G, "A")</f>
        <v>0</v>
      </c>
      <c r="U24" s="23">
        <f>COUNTIFS(STUDENTDATA!$A:$A, "7", STUDENTDATA!$F:$F, "SBC", STUDENTDATA!$E:$E, "F", STUDENTDATA!$G:$G, "B")</f>
        <v>0</v>
      </c>
      <c r="V24" s="23">
        <f>COUNTIFS(STUDENTDATA!$A:$A, "7", STUDENTDATA!$F:$F, "SBC", STUDENTDATA!$E:$E, "F", STUDENTDATA!$G:$G, "C")</f>
        <v>0</v>
      </c>
      <c r="W24" s="23">
        <f>COUNTIFS(STUDENTDATA!$A:$A, "7", STUDENTDATA!$F:$F, "SBC", STUDENTDATA!$E:$E, "F", STUDENTDATA!$G:$G, "D")</f>
        <v>0</v>
      </c>
      <c r="X24" s="23">
        <f>COUNTIFS(STUDENTDATA!$A:$A, "7", STUDENTDATA!$F:$F, "SBC", STUDENTDATA!$E:$E, "F", STUDENTDATA!$G:$G, "E")</f>
        <v>0</v>
      </c>
      <c r="Y24" s="23">
        <f>T24+U24+V24+W24+X24</f>
        <v>0</v>
      </c>
      <c r="Z24" s="23">
        <f>COUNTIFS(STUDENTDATA!$A:$A, "7", STUDENTDATA!$F:$F, "GEN", STUDENTDATA!$E:$E, "F", STUDENTDATA!$G:$G, "A")</f>
        <v>0</v>
      </c>
      <c r="AA24" s="23">
        <f>COUNTIFS(STUDENTDATA!$A:$A, "7", STUDENTDATA!$F:$F, "GEN", STUDENTDATA!$E:$E, "F", STUDENTDATA!$G:$G, "B")</f>
        <v>0</v>
      </c>
      <c r="AB24" s="23">
        <f>COUNTIFS(STUDENTDATA!$A:$A, "7", STUDENTDATA!$F:$F, "GEN", STUDENTDATA!$E:$E, "F", STUDENTDATA!$G:$G, "C")</f>
        <v>0</v>
      </c>
      <c r="AC24" s="23">
        <f>COUNTIFS(STUDENTDATA!$A:$A, "7", STUDENTDATA!$F:$F, "GEN", STUDENTDATA!$E:$E, "F", STUDENTDATA!$G:$G, "D")</f>
        <v>0</v>
      </c>
      <c r="AD24" s="23">
        <f>COUNTIFS(STUDENTDATA!$A:$A, "7", STUDENTDATA!$F:$F, "GEN", STUDENTDATA!$E:$E, "F", STUDENTDATA!$G:$G, "E")</f>
        <v>0</v>
      </c>
      <c r="AE24" s="49">
        <f>Z24+AA24+AB24+AC24+AD24</f>
        <v>0</v>
      </c>
      <c r="AF24" s="23">
        <f>COUNTIFS(STUDENTDATA!$A:$A, "7", STUDENTDATA!$F:$F, "MIN", STUDENTDATA!$E:$E, "F", STUDENTDATA!$G:$G, "A")</f>
        <v>0</v>
      </c>
      <c r="AG24" s="23">
        <f>COUNTIFS(STUDENTDATA!$A:$A, "7", STUDENTDATA!$F:$F, "MIN", STUDENTDATA!$E:$E, "F", STUDENTDATA!$G:$G, "B")</f>
        <v>0</v>
      </c>
      <c r="AH24" s="23">
        <f>COUNTIFS(STUDENTDATA!$A:$A, "7", STUDENTDATA!$F:$F, "MIN", STUDENTDATA!$E:$E, "F", STUDENTDATA!$G:$G, "C")</f>
        <v>0</v>
      </c>
      <c r="AI24" s="23">
        <f>COUNTIFS(STUDENTDATA!$A:$A, "7", STUDENTDATA!$F:$F, "MIN", STUDENTDATA!$E:$E, "F", STUDENTDATA!$G:$G, "D")</f>
        <v>0</v>
      </c>
      <c r="AJ24" s="23">
        <f>COUNTIFS(STUDENTDATA!$A:$A, "7", STUDENTDATA!$F:$F, "MIN", STUDENTDATA!$E:$E, "F", STUDENTDATA!$G:$G, "E")</f>
        <v>0</v>
      </c>
      <c r="AK24" s="23">
        <f>AF24+AG24+AH24+AI24+AJ24</f>
        <v>0</v>
      </c>
      <c r="AL24" s="50"/>
      <c r="AM24" s="50"/>
      <c r="AN24" s="50"/>
      <c r="AO24" s="50"/>
      <c r="AP24" s="50"/>
      <c r="AQ24" s="50"/>
    </row>
    <row r="25" spans="1:43" s="19" customFormat="1" ht="57" customHeight="1" x14ac:dyDescent="0.25">
      <c r="A25" s="23">
        <v>8</v>
      </c>
      <c r="B25" s="23">
        <f>COUNTIFS(STUDENTDATA!$A:$A, "8", STUDENTDATA!$F:$F, "SC", STUDENTDATA!$E:$E, "F", STUDENTDATA!$G:$G, "A")</f>
        <v>0</v>
      </c>
      <c r="C25" s="23">
        <f>COUNTIFS(STUDENTDATA!$A:$A, "8", STUDENTDATA!$F:$F, "SC", STUDENTDATA!$E:$E, "F", STUDENTDATA!$G:$G, "B")</f>
        <v>0</v>
      </c>
      <c r="D25" s="23">
        <f>COUNTIFS(STUDENTDATA!$A:$A, "8", STUDENTDATA!$F:$F, "SC", STUDENTDATA!$E:$E, "F", STUDENTDATA!$G:$G, "C")</f>
        <v>0</v>
      </c>
      <c r="E25" s="23">
        <f>COUNTIFS(STUDENTDATA!$A:$A, "8", STUDENTDATA!$F:$F, "SC", STUDENTDATA!$E:$E, "F", STUDENTDATA!$G:$G, "D")</f>
        <v>0</v>
      </c>
      <c r="F25" s="23">
        <f>COUNTIFS(STUDENTDATA!$A:$A, "8", STUDENTDATA!$F:$F, "SC", STUDENTDATA!$E:$E, "F", STUDENTDATA!$G:$G, "E")</f>
        <v>0</v>
      </c>
      <c r="G25" s="23">
        <f t="shared" ref="G25" si="30">B25+C25+D25+E25+F25</f>
        <v>0</v>
      </c>
      <c r="H25" s="23">
        <f>COUNTIFS(STUDENTDATA!$A:$A, "8", STUDENTDATA!$F:$F, "ST", STUDENTDATA!$E:$E, "F", STUDENTDATA!$G:$G, "A")</f>
        <v>0</v>
      </c>
      <c r="I25" s="23">
        <f>COUNTIFS(STUDENTDATA!$A:$A, "8", STUDENTDATA!$F:$F, "ST", STUDENTDATA!$E:$E, "F", STUDENTDATA!$G:$G, "B")</f>
        <v>0</v>
      </c>
      <c r="J25" s="23">
        <f>COUNTIFS(STUDENTDATA!$A:$A, "8", STUDENTDATA!$F:$F, "ST", STUDENTDATA!$E:$E, "F", STUDENTDATA!$G:$G, "C")</f>
        <v>0</v>
      </c>
      <c r="K25" s="23">
        <f>COUNTIFS(STUDENTDATA!$A:$A, "8", STUDENTDATA!$F:$F, "ST", STUDENTDATA!$E:$E, "F", STUDENTDATA!$G:$G, "D")</f>
        <v>0</v>
      </c>
      <c r="L25" s="23">
        <f>COUNTIFS(STUDENTDATA!$A:$A, "8", STUDENTDATA!$F:$F, "ST", STUDENTDATA!$E:$E, "F", STUDENTDATA!$G:$G, "E")</f>
        <v>0</v>
      </c>
      <c r="M25" s="23">
        <f t="shared" ref="M25" si="31">H25+I25+J25+K25+L25</f>
        <v>0</v>
      </c>
      <c r="N25" s="23">
        <f>COUNTIFS(STUDENTDATA!$A:$A, "8", STUDENTDATA!$F:$F, "OBC", STUDENTDATA!$E:$E, "F", STUDENTDATA!$G:$G, "A")</f>
        <v>0</v>
      </c>
      <c r="O25" s="23">
        <f>COUNTIFS(STUDENTDATA!$A:$A, "8", STUDENTDATA!$F:$F, "OBC", STUDENTDATA!$E:$E, "F", STUDENTDATA!$G:$G, "B")</f>
        <v>0</v>
      </c>
      <c r="P25" s="23">
        <f>COUNTIFS(STUDENTDATA!$A:$A, "8", STUDENTDATA!$F:$F, "OBC", STUDENTDATA!$E:$E, "F", STUDENTDATA!$G:$G, "C")</f>
        <v>0</v>
      </c>
      <c r="Q25" s="23">
        <f>COUNTIFS(STUDENTDATA!$A:$A, "8", STUDENTDATA!$F:$F, "OBC", STUDENTDATA!$E:$E, "F", STUDENTDATA!$G:$G, "D")</f>
        <v>0</v>
      </c>
      <c r="R25" s="23">
        <f>COUNTIFS(STUDENTDATA!$A:$A, "8", STUDENTDATA!$F:$F, "OBC", STUDENTDATA!$E:$E, "F", STUDENTDATA!$G:$G, "E")</f>
        <v>0</v>
      </c>
      <c r="S25" s="23">
        <f t="shared" ref="S25" si="32">N25+O25+P25+Q25+R25</f>
        <v>0</v>
      </c>
      <c r="T25" s="23">
        <f>COUNTIFS(STUDENTDATA!$A:$A, "8", STUDENTDATA!$F:$F, "SBC", STUDENTDATA!$E:$E, "F", STUDENTDATA!$G:$G, "A")</f>
        <v>0</v>
      </c>
      <c r="U25" s="23">
        <f>COUNTIFS(STUDENTDATA!$A:$A, "8", STUDENTDATA!$F:$F, "SBC", STUDENTDATA!$E:$E, "F", STUDENTDATA!$G:$G, "B")</f>
        <v>0</v>
      </c>
      <c r="V25" s="23">
        <f>COUNTIFS(STUDENTDATA!$A:$A, "8", STUDENTDATA!$F:$F, "SBC", STUDENTDATA!$E:$E, "F", STUDENTDATA!$G:$G, "C")</f>
        <v>0</v>
      </c>
      <c r="W25" s="23">
        <f>COUNTIFS(STUDENTDATA!$A:$A, "8", STUDENTDATA!$F:$F, "SBC", STUDENTDATA!$E:$E, "F", STUDENTDATA!$G:$G, "D")</f>
        <v>0</v>
      </c>
      <c r="X25" s="23">
        <f>COUNTIFS(STUDENTDATA!$A:$A, "8", STUDENTDATA!$F:$F, "SBC", STUDENTDATA!$E:$E, "F", STUDENTDATA!$G:$G, "E")</f>
        <v>0</v>
      </c>
      <c r="Y25" s="23">
        <f t="shared" ref="Y25" si="33">T25+U25+V25+W25+X25</f>
        <v>0</v>
      </c>
      <c r="Z25" s="23">
        <f>COUNTIFS(STUDENTDATA!$A:$A, "8", STUDENTDATA!$F:$F, "GEN", STUDENTDATA!$E:$E, "F", STUDENTDATA!$G:$G, "A")</f>
        <v>0</v>
      </c>
      <c r="AA25" s="23">
        <f>COUNTIFS(STUDENTDATA!$A:$A, "8", STUDENTDATA!$F:$F, "GEN", STUDENTDATA!$E:$E, "F", STUDENTDATA!$G:$G, "B")</f>
        <v>0</v>
      </c>
      <c r="AB25" s="23">
        <f>COUNTIFS(STUDENTDATA!$A:$A, "8", STUDENTDATA!$F:$F, "GEN", STUDENTDATA!$E:$E, "F", STUDENTDATA!$G:$G, "C")</f>
        <v>0</v>
      </c>
      <c r="AC25" s="23">
        <f>COUNTIFS(STUDENTDATA!$A:$A, "8", STUDENTDATA!$F:$F, "GEN", STUDENTDATA!$E:$E, "F", STUDENTDATA!$G:$G, "D")</f>
        <v>0</v>
      </c>
      <c r="AD25" s="23">
        <f>COUNTIFS(STUDENTDATA!$A:$A, "8", STUDENTDATA!$F:$F, "GEN", STUDENTDATA!$E:$E, "F", STUDENTDATA!$G:$G, "E")</f>
        <v>0</v>
      </c>
      <c r="AE25" s="49">
        <f t="shared" ref="AE25" si="34">Z25+AA25+AB25+AC25+AD25</f>
        <v>0</v>
      </c>
      <c r="AF25" s="23">
        <f>COUNTIFS(STUDENTDATA!$A:$A, "8", STUDENTDATA!$F:$F, "MIN", STUDENTDATA!$E:$E, "F", STUDENTDATA!$G:$G, "A")</f>
        <v>0</v>
      </c>
      <c r="AG25" s="23">
        <f>COUNTIFS(STUDENTDATA!$A:$A, "8", STUDENTDATA!$F:$F, "MIN", STUDENTDATA!$E:$E, "F", STUDENTDATA!$G:$G, "B")</f>
        <v>0</v>
      </c>
      <c r="AH25" s="23">
        <f>COUNTIFS(STUDENTDATA!$A:$A, "8", STUDENTDATA!$F:$F, "MIN", STUDENTDATA!$E:$E, "F", STUDENTDATA!$G:$G, "C")</f>
        <v>0</v>
      </c>
      <c r="AI25" s="23">
        <f>COUNTIFS(STUDENTDATA!$A:$A, "8", STUDENTDATA!$F:$F, "MIN", STUDENTDATA!$E:$E, "F", STUDENTDATA!$G:$G, "D")</f>
        <v>0</v>
      </c>
      <c r="AJ25" s="23">
        <f>COUNTIFS(STUDENTDATA!$A:$A, "8", STUDENTDATA!$F:$F, "MIN", STUDENTDATA!$E:$E, "F", STUDENTDATA!$G:$G, "E")</f>
        <v>0</v>
      </c>
      <c r="AK25" s="23">
        <f t="shared" ref="AK25" si="35">AF25+AG25+AH25+AI25+AJ25</f>
        <v>0</v>
      </c>
      <c r="AL25" s="50"/>
      <c r="AM25" s="50"/>
      <c r="AN25" s="50"/>
      <c r="AO25" s="50"/>
      <c r="AP25" s="50"/>
      <c r="AQ25" s="50"/>
    </row>
    <row r="27" spans="1:43" ht="23.25" x14ac:dyDescent="0.25">
      <c r="A27" s="101" t="s">
        <v>1387</v>
      </c>
      <c r="B27" s="101"/>
      <c r="C27" s="101"/>
      <c r="D27" s="101"/>
      <c r="E27" s="101"/>
      <c r="F27" s="101"/>
      <c r="G27" s="101"/>
      <c r="H27" s="101"/>
      <c r="I27" s="101"/>
      <c r="J27" s="101"/>
      <c r="K27" s="101"/>
      <c r="L27" s="101"/>
      <c r="M27" s="101"/>
      <c r="N27" s="101"/>
      <c r="O27" s="101"/>
      <c r="P27" s="101"/>
      <c r="Q27" s="101"/>
      <c r="R27" s="101"/>
      <c r="S27" s="101"/>
      <c r="T27" s="101"/>
      <c r="U27" s="101"/>
      <c r="V27" s="101"/>
      <c r="W27" s="101"/>
      <c r="X27" s="101"/>
      <c r="Y27" s="101"/>
      <c r="Z27" s="101"/>
      <c r="AA27" s="101"/>
      <c r="AB27" s="101"/>
      <c r="AC27" s="101"/>
      <c r="AD27" s="101"/>
      <c r="AE27" s="101"/>
      <c r="AF27" s="101"/>
      <c r="AG27" s="101"/>
      <c r="AH27" s="101"/>
      <c r="AI27" s="101"/>
      <c r="AJ27" s="101"/>
      <c r="AK27" s="101"/>
      <c r="AL27" s="101"/>
      <c r="AM27" s="101"/>
      <c r="AN27" s="101"/>
      <c r="AO27" s="101"/>
      <c r="AP27" s="101"/>
      <c r="AQ27" s="101"/>
    </row>
    <row r="28" spans="1:43" ht="27.75" customHeight="1" x14ac:dyDescent="0.25">
      <c r="A28" s="111" t="s">
        <v>1388</v>
      </c>
      <c r="B28" s="82" t="s">
        <v>4</v>
      </c>
      <c r="C28" s="82"/>
      <c r="D28" s="82"/>
      <c r="E28" s="82"/>
      <c r="F28" s="82"/>
      <c r="G28" s="82"/>
      <c r="H28" s="82" t="s">
        <v>5</v>
      </c>
      <c r="I28" s="82"/>
      <c r="J28" s="82"/>
      <c r="K28" s="82"/>
      <c r="L28" s="82"/>
      <c r="M28" s="82"/>
      <c r="N28" s="82" t="s">
        <v>6</v>
      </c>
      <c r="O28" s="82"/>
      <c r="P28" s="82"/>
      <c r="Q28" s="82"/>
      <c r="R28" s="82"/>
      <c r="S28" s="82"/>
      <c r="T28" s="82" t="s">
        <v>7</v>
      </c>
      <c r="U28" s="82"/>
      <c r="V28" s="82"/>
      <c r="W28" s="82"/>
      <c r="X28" s="82"/>
      <c r="Y28" s="82"/>
      <c r="Z28" s="82" t="s">
        <v>8</v>
      </c>
      <c r="AA28" s="82"/>
      <c r="AB28" s="82"/>
      <c r="AC28" s="82"/>
      <c r="AD28" s="82"/>
      <c r="AE28" s="82"/>
      <c r="AF28" s="82" t="s">
        <v>9</v>
      </c>
      <c r="AG28" s="82"/>
      <c r="AH28" s="82"/>
      <c r="AI28" s="82"/>
      <c r="AJ28" s="82"/>
      <c r="AK28" s="82"/>
      <c r="AL28" s="82" t="s">
        <v>1435</v>
      </c>
      <c r="AM28" s="82"/>
      <c r="AN28" s="82"/>
      <c r="AO28" s="82"/>
      <c r="AP28" s="82"/>
      <c r="AQ28" s="82"/>
    </row>
    <row r="29" spans="1:43" s="17" customFormat="1" ht="33.75" customHeight="1" x14ac:dyDescent="0.25">
      <c r="A29" s="112"/>
      <c r="B29" s="18" t="s">
        <v>49</v>
      </c>
      <c r="C29" s="18" t="s">
        <v>10</v>
      </c>
      <c r="D29" s="18" t="s">
        <v>1376</v>
      </c>
      <c r="E29" s="18" t="s">
        <v>1377</v>
      </c>
      <c r="F29" s="18" t="s">
        <v>1378</v>
      </c>
      <c r="G29" s="26" t="s">
        <v>3</v>
      </c>
      <c r="H29" s="18" t="s">
        <v>49</v>
      </c>
      <c r="I29" s="18" t="s">
        <v>10</v>
      </c>
      <c r="J29" s="18" t="s">
        <v>1376</v>
      </c>
      <c r="K29" s="18" t="s">
        <v>1377</v>
      </c>
      <c r="L29" s="18" t="s">
        <v>1378</v>
      </c>
      <c r="M29" s="26" t="s">
        <v>3</v>
      </c>
      <c r="N29" s="18" t="s">
        <v>49</v>
      </c>
      <c r="O29" s="18" t="s">
        <v>10</v>
      </c>
      <c r="P29" s="18" t="s">
        <v>1376</v>
      </c>
      <c r="Q29" s="18" t="s">
        <v>1377</v>
      </c>
      <c r="R29" s="18" t="s">
        <v>1378</v>
      </c>
      <c r="S29" s="26" t="s">
        <v>3</v>
      </c>
      <c r="T29" s="18" t="s">
        <v>49</v>
      </c>
      <c r="U29" s="18" t="s">
        <v>10</v>
      </c>
      <c r="V29" s="18" t="s">
        <v>1376</v>
      </c>
      <c r="W29" s="18" t="s">
        <v>1377</v>
      </c>
      <c r="X29" s="18" t="s">
        <v>1378</v>
      </c>
      <c r="Y29" s="26" t="s">
        <v>3</v>
      </c>
      <c r="Z29" s="18" t="s">
        <v>49</v>
      </c>
      <c r="AA29" s="18" t="s">
        <v>10</v>
      </c>
      <c r="AB29" s="18" t="s">
        <v>1376</v>
      </c>
      <c r="AC29" s="18" t="s">
        <v>1377</v>
      </c>
      <c r="AD29" s="18" t="s">
        <v>1378</v>
      </c>
      <c r="AE29" s="26" t="s">
        <v>3</v>
      </c>
      <c r="AF29" s="18" t="s">
        <v>49</v>
      </c>
      <c r="AG29" s="18" t="s">
        <v>10</v>
      </c>
      <c r="AH29" s="18" t="s">
        <v>1376</v>
      </c>
      <c r="AI29" s="18" t="s">
        <v>1377</v>
      </c>
      <c r="AJ29" s="18" t="s">
        <v>1378</v>
      </c>
      <c r="AK29" s="26" t="s">
        <v>3</v>
      </c>
      <c r="AL29" s="18" t="s">
        <v>49</v>
      </c>
      <c r="AM29" s="18" t="s">
        <v>10</v>
      </c>
      <c r="AN29" s="18" t="s">
        <v>1376</v>
      </c>
      <c r="AO29" s="18" t="s">
        <v>1377</v>
      </c>
      <c r="AP29" s="18" t="s">
        <v>1378</v>
      </c>
      <c r="AQ29" s="26" t="s">
        <v>3</v>
      </c>
    </row>
    <row r="30" spans="1:43" s="19" customFormat="1" ht="57" customHeight="1" x14ac:dyDescent="0.25">
      <c r="A30" s="23">
        <v>6</v>
      </c>
      <c r="B30" s="23">
        <f>COUNTIFS(STUDENTDATA!$A:$A, "6", STUDENTDATA!$F:$F, "SC", STUDENTDATA!$G:$G, "A")</f>
        <v>0</v>
      </c>
      <c r="C30" s="23">
        <f>COUNTIFS(STUDENTDATA!$A:$A, "6", STUDENTDATA!$F:$F, "SC", STUDENTDATA!$G:$G, "B")</f>
        <v>0</v>
      </c>
      <c r="D30" s="23">
        <f>COUNTIFS(STUDENTDATA!$A:$A, "6", STUDENTDATA!$F:$F, "SC", STUDENTDATA!$G:$G, "C")</f>
        <v>0</v>
      </c>
      <c r="E30" s="23">
        <f>COUNTIFS(STUDENTDATA!$A:$A, "6", STUDENTDATA!$F:$F, "SC", STUDENTDATA!$G:$G, "D")</f>
        <v>0</v>
      </c>
      <c r="F30" s="23">
        <f>COUNTIFS(STUDENTDATA!$A:$A, "6", STUDENTDATA!$F:$F, "SC", STUDENTDATA!$G:$G, "E")</f>
        <v>0</v>
      </c>
      <c r="G30" s="23">
        <f>B30+C30+D30+E30+F30</f>
        <v>0</v>
      </c>
      <c r="H30" s="23">
        <f>COUNTIFS(STUDENTDATA!$A:$A, "6", STUDENTDATA!$F:$F, "ST", STUDENTDATA!$G:$G, "A")</f>
        <v>0</v>
      </c>
      <c r="I30" s="23">
        <f>COUNTIFS(STUDENTDATA!$A:$A, "6", STUDENTDATA!$F:$F, "ST", STUDENTDATA!$G:$G, "B")</f>
        <v>0</v>
      </c>
      <c r="J30" s="23">
        <f>COUNTIFS(STUDENTDATA!$A:$A, "6", STUDENTDATA!$F:$F, "ST", STUDENTDATA!$G:$G, "C")</f>
        <v>0</v>
      </c>
      <c r="K30" s="23">
        <f>COUNTIFS(STUDENTDATA!$A:$A, "6", STUDENTDATA!$F:$F, "ST", STUDENTDATA!$G:$G, "D")</f>
        <v>0</v>
      </c>
      <c r="L30" s="23">
        <f>COUNTIFS(STUDENTDATA!$A:$A, "6", STUDENTDATA!$F:$F, "ST", STUDENTDATA!$G:$G, "E")</f>
        <v>0</v>
      </c>
      <c r="M30" s="23">
        <f t="shared" ref="M30" si="36">H30+I30+J30+K30+L30</f>
        <v>0</v>
      </c>
      <c r="N30" s="23">
        <f>COUNTIFS(STUDENTDATA!$A:$A, "6", STUDENTDATA!$F:$F, "OBC", STUDENTDATA!$G:$G, "A")</f>
        <v>0</v>
      </c>
      <c r="O30" s="23">
        <f>COUNTIFS(STUDENTDATA!$A:$A, "6", STUDENTDATA!$F:$F, "OBC", STUDENTDATA!$G:$G, "B")</f>
        <v>0</v>
      </c>
      <c r="P30" s="23">
        <f>COUNTIFS(STUDENTDATA!$A:$A, "6", STUDENTDATA!$F:$F, "OBC", STUDENTDATA!$G:$G, "C")</f>
        <v>0</v>
      </c>
      <c r="Q30" s="23">
        <f>COUNTIFS(STUDENTDATA!$A:$A, "6", STUDENTDATA!$F:$F, "OBC", STUDENTDATA!$G:$G, "D")</f>
        <v>0</v>
      </c>
      <c r="R30" s="23">
        <f>COUNTIFS(STUDENTDATA!$A:$A, "6", STUDENTDATA!$F:$F, "OBC", STUDENTDATA!$G:$G, "E")</f>
        <v>0</v>
      </c>
      <c r="S30" s="23">
        <f t="shared" ref="S30" si="37">N30+O30+P30+Q30+R30</f>
        <v>0</v>
      </c>
      <c r="T30" s="23">
        <f>COUNTIFS(STUDENTDATA!$A:$A, "6", STUDENTDATA!$F:$F, "SBC", STUDENTDATA!$G:$G, "A")</f>
        <v>0</v>
      </c>
      <c r="U30" s="23">
        <f>COUNTIFS(STUDENTDATA!$A:$A, "6", STUDENTDATA!$F:$F, "SBC", STUDENTDATA!$G:$G, "B")</f>
        <v>0</v>
      </c>
      <c r="V30" s="23">
        <f>COUNTIFS(STUDENTDATA!$A:$A, "6", STUDENTDATA!$F:$F, "SBC", STUDENTDATA!$G:$G, "C")</f>
        <v>0</v>
      </c>
      <c r="W30" s="23">
        <f>COUNTIFS(STUDENTDATA!$A:$A, "6", STUDENTDATA!$F:$F, "SBC", STUDENTDATA!$G:$G, "D")</f>
        <v>0</v>
      </c>
      <c r="X30" s="23">
        <f>COUNTIFS(STUDENTDATA!$A:$A, "6", STUDENTDATA!$F:$F, "SBC", STUDENTDATA!$G:$G, "E")</f>
        <v>0</v>
      </c>
      <c r="Y30" s="23">
        <f t="shared" ref="Y30" si="38">T30+U30+V30+W30+X30</f>
        <v>0</v>
      </c>
      <c r="Z30" s="23">
        <f>COUNTIFS(STUDENTDATA!$A:$A, "6", STUDENTDATA!$F:$F, "GEN", STUDENTDATA!$G:$G, "A")</f>
        <v>0</v>
      </c>
      <c r="AA30" s="23">
        <f>COUNTIFS(STUDENTDATA!$A:$A, "6", STUDENTDATA!$F:$F, "GEN", STUDENTDATA!$G:$G, "B")</f>
        <v>0</v>
      </c>
      <c r="AB30" s="23">
        <f>COUNTIFS(STUDENTDATA!$A:$A, "6", STUDENTDATA!$F:$F, "GEN", STUDENTDATA!$G:$G, "C")</f>
        <v>0</v>
      </c>
      <c r="AC30" s="23">
        <f>COUNTIFS(STUDENTDATA!$A:$A, "6", STUDENTDATA!$F:$F, "GEN", STUDENTDATA!$G:$G, "D")</f>
        <v>0</v>
      </c>
      <c r="AD30" s="23">
        <f>COUNTIFS(STUDENTDATA!$A:$A, "6", STUDENTDATA!$F:$F, "GEN", STUDENTDATA!$G:$G, "E")</f>
        <v>0</v>
      </c>
      <c r="AE30" s="23">
        <f t="shared" ref="AE30" si="39">Z30+AA30+AB30+AC30+AD30</f>
        <v>0</v>
      </c>
      <c r="AF30" s="23">
        <f>COUNTIFS(STUDENTDATA!$A:$A, "6", STUDENTDATA!$F:$F, "MIN", STUDENTDATA!$G:$G, "A")</f>
        <v>0</v>
      </c>
      <c r="AG30" s="23">
        <f>COUNTIFS(STUDENTDATA!$A:$A, "6", STUDENTDATA!$F:$F, "MIN", STUDENTDATA!$G:$G, "B")</f>
        <v>0</v>
      </c>
      <c r="AH30" s="23">
        <f>COUNTIFS(STUDENTDATA!$A:$A, "6", STUDENTDATA!$F:$F, "MIN", STUDENTDATA!$G:$G, "C")</f>
        <v>0</v>
      </c>
      <c r="AI30" s="23">
        <f>COUNTIFS(STUDENTDATA!$A:$A, "6", STUDENTDATA!$F:$F, "MIN", STUDENTDATA!$G:$G, "D")</f>
        <v>0</v>
      </c>
      <c r="AJ30" s="23">
        <f>COUNTIFS(STUDENTDATA!$A:$A, "6", STUDENTDATA!$F:$F, "MIN", STUDENTDATA!$G:$G, "E")</f>
        <v>0</v>
      </c>
      <c r="AK30" s="23">
        <f t="shared" ref="AK30" si="40">AF30+AG30+AH30+AI30+AJ30</f>
        <v>0</v>
      </c>
      <c r="AL30" s="23">
        <f>B30+H30+N30+T30+Z30+AF30</f>
        <v>0</v>
      </c>
      <c r="AM30" s="23">
        <f t="shared" ref="AM30:AP30" si="41">C30+I30+O30+U30+AA30+AG30</f>
        <v>0</v>
      </c>
      <c r="AN30" s="23">
        <f t="shared" si="41"/>
        <v>0</v>
      </c>
      <c r="AO30" s="23">
        <f>E30+K30+Q30+W30+AC30+AI30</f>
        <v>0</v>
      </c>
      <c r="AP30" s="23">
        <f t="shared" si="41"/>
        <v>0</v>
      </c>
      <c r="AQ30" s="23">
        <f t="shared" ref="AQ30" si="42">AL30+AM30+AN30+AO30+AP30</f>
        <v>0</v>
      </c>
    </row>
    <row r="31" spans="1:43" s="19" customFormat="1" ht="22.5" customHeight="1" x14ac:dyDescent="0.25">
      <c r="A31" s="106" t="str">
        <f ca="1">IF(LIFAFA3!F7=0, "", TEXT(G30/LIFAFA3!F7, "0.00%"))</f>
        <v/>
      </c>
      <c r="B31" s="107"/>
      <c r="C31" s="107"/>
      <c r="D31" s="107"/>
      <c r="E31" s="107"/>
      <c r="F31" s="107"/>
      <c r="G31" s="108"/>
      <c r="H31" s="106" t="str">
        <f ca="1">IF(LIFAFA3!I7=0, "", TEXT(M30/LIFAFA3!I7, "0.00%"))</f>
        <v/>
      </c>
      <c r="I31" s="107"/>
      <c r="J31" s="107"/>
      <c r="K31" s="107"/>
      <c r="L31" s="107"/>
      <c r="M31" s="108"/>
      <c r="N31" s="106" t="str">
        <f ca="1">IF(LIFAFA3!L7=0, "", TEXT(S30/LIFAFA3!L7, "0.00%"))</f>
        <v/>
      </c>
      <c r="O31" s="107"/>
      <c r="P31" s="107"/>
      <c r="Q31" s="107"/>
      <c r="R31" s="107"/>
      <c r="S31" s="108"/>
      <c r="T31" s="106" t="str">
        <f ca="1">IF(LIFAFA3!O7=0, "", TEXT(Y30/LIFAFA3!O7, "0.00%"))</f>
        <v/>
      </c>
      <c r="U31" s="107"/>
      <c r="V31" s="107"/>
      <c r="W31" s="107"/>
      <c r="X31" s="107"/>
      <c r="Y31" s="108"/>
      <c r="Z31" s="106" t="str">
        <f ca="1">IF(LIFAFA3!R7=0, "", TEXT(AE30/LIFAFA3!R7, "0.00%"))</f>
        <v/>
      </c>
      <c r="AA31" s="107"/>
      <c r="AB31" s="107"/>
      <c r="AC31" s="107"/>
      <c r="AD31" s="107"/>
      <c r="AE31" s="107"/>
      <c r="AF31" s="109" t="str">
        <f ca="1">IF(LIFAFA3!U7=0, "", TEXT(AK30/LIFAFA3!U7, "0.00%"))</f>
        <v/>
      </c>
      <c r="AG31" s="109"/>
      <c r="AH31" s="109"/>
      <c r="AI31" s="109"/>
      <c r="AJ31" s="109"/>
      <c r="AK31" s="109"/>
      <c r="AL31" s="109" t="str">
        <f ca="1">IF(LIFAFA3!X7=0, "", TEXT(AQ30/LIFAFA3!X7, "0.00%"))</f>
        <v/>
      </c>
      <c r="AM31" s="109"/>
      <c r="AN31" s="109"/>
      <c r="AO31" s="109"/>
      <c r="AP31" s="109"/>
      <c r="AQ31" s="109"/>
    </row>
    <row r="32" spans="1:43" s="19" customFormat="1" ht="57" customHeight="1" x14ac:dyDescent="0.25">
      <c r="A32" s="23">
        <v>7</v>
      </c>
      <c r="B32" s="23">
        <f>COUNTIFS(STUDENTDATA!$A:$A, "7", STUDENTDATA!$F:$F, "SC", STUDENTDATA!$G:$G, "A")</f>
        <v>0</v>
      </c>
      <c r="C32" s="23">
        <f>COUNTIFS(STUDENTDATA!$A:$A, "7", STUDENTDATA!$F:$F, "SC", STUDENTDATA!$G:$G, "B")</f>
        <v>0</v>
      </c>
      <c r="D32" s="23">
        <f>COUNTIFS(STUDENTDATA!$A:$A, "7", STUDENTDATA!$F:$F, "SC", STUDENTDATA!$G:$G, "C")</f>
        <v>0</v>
      </c>
      <c r="E32" s="23">
        <f>COUNTIFS(STUDENTDATA!$A:$A, "7", STUDENTDATA!$F:$F, "SC", STUDENTDATA!$G:$G, "D")</f>
        <v>0</v>
      </c>
      <c r="F32" s="23">
        <f>COUNTIFS(STUDENTDATA!$A:$A, "7", STUDENTDATA!$F:$F, "SC", STUDENTDATA!$G:$G, "E")</f>
        <v>0</v>
      </c>
      <c r="G32" s="23">
        <f t="shared" ref="G32:G34" si="43">B32+C32+D32+E32+F32</f>
        <v>0</v>
      </c>
      <c r="H32" s="23">
        <f>COUNTIFS(STUDENTDATA!$A:$A, "7", STUDENTDATA!$F:$F, "ST", STUDENTDATA!$G:$G, "A")</f>
        <v>0</v>
      </c>
      <c r="I32" s="23">
        <f>COUNTIFS(STUDENTDATA!$A:$A, "7", STUDENTDATA!$F:$F, "ST", STUDENTDATA!$G:$G, "B")</f>
        <v>0</v>
      </c>
      <c r="J32" s="23">
        <f>COUNTIFS(STUDENTDATA!$A:$A, "7", STUDENTDATA!$F:$F, "ST", STUDENTDATA!$G:$G, "C")</f>
        <v>0</v>
      </c>
      <c r="K32" s="23">
        <f>COUNTIFS(STUDENTDATA!$A:$A, "7", STUDENTDATA!$F:$F, "ST", STUDENTDATA!$G:$G, "D")</f>
        <v>0</v>
      </c>
      <c r="L32" s="23">
        <f>COUNTIFS(STUDENTDATA!$A:$A, "7", STUDENTDATA!$F:$F, "ST", STUDENTDATA!$G:$G, "E")</f>
        <v>0</v>
      </c>
      <c r="M32" s="23">
        <f t="shared" ref="M32:M34" si="44">H32+I32+J32+K32+L32</f>
        <v>0</v>
      </c>
      <c r="N32" s="23">
        <f>COUNTIFS(STUDENTDATA!$A:$A, "7", STUDENTDATA!$F:$F, "OBC", STUDENTDATA!$G:$G, "A")</f>
        <v>0</v>
      </c>
      <c r="O32" s="23">
        <f>COUNTIFS(STUDENTDATA!$A:$A, "7", STUDENTDATA!$F:$F, "OBC", STUDENTDATA!$G:$G, "B")</f>
        <v>0</v>
      </c>
      <c r="P32" s="23">
        <f>COUNTIFS(STUDENTDATA!$A:$A, "7", STUDENTDATA!$F:$F, "OBC", STUDENTDATA!$G:$G, "C")</f>
        <v>0</v>
      </c>
      <c r="Q32" s="23">
        <f>COUNTIFS(STUDENTDATA!$A:$A, "7", STUDENTDATA!$F:$F, "OBC", STUDENTDATA!$G:$G, "D")</f>
        <v>0</v>
      </c>
      <c r="R32" s="23">
        <f>COUNTIFS(STUDENTDATA!$A:$A, "7", STUDENTDATA!$F:$F, "OBC", STUDENTDATA!$G:$G, "E")</f>
        <v>0</v>
      </c>
      <c r="S32" s="23">
        <f t="shared" ref="S32:S34" si="45">N32+O32+P32+Q32+R32</f>
        <v>0</v>
      </c>
      <c r="T32" s="23">
        <f>COUNTIFS(STUDENTDATA!$A:$A, "7", STUDENTDATA!$F:$F, "SBC", STUDENTDATA!$G:$G, "A")</f>
        <v>0</v>
      </c>
      <c r="U32" s="23">
        <f>COUNTIFS(STUDENTDATA!$A:$A, "7", STUDENTDATA!$F:$F, "SBC", STUDENTDATA!$G:$G, "B")</f>
        <v>0</v>
      </c>
      <c r="V32" s="23">
        <f>COUNTIFS(STUDENTDATA!$A:$A, "7", STUDENTDATA!$F:$F, "SBC", STUDENTDATA!$G:$G, "C")</f>
        <v>0</v>
      </c>
      <c r="W32" s="23">
        <f>COUNTIFS(STUDENTDATA!$A:$A, "7", STUDENTDATA!$F:$F, "SBC", STUDENTDATA!$G:$G, "D")</f>
        <v>0</v>
      </c>
      <c r="X32" s="23">
        <f>COUNTIFS(STUDENTDATA!$A:$A, "7", STUDENTDATA!$F:$F, "SBC", STUDENTDATA!$G:$G, "E")</f>
        <v>0</v>
      </c>
      <c r="Y32" s="23">
        <f t="shared" ref="Y32:Y34" si="46">T32+U32+V32+W32+X32</f>
        <v>0</v>
      </c>
      <c r="Z32" s="23">
        <f>COUNTIFS(STUDENTDATA!$A:$A, "7", STUDENTDATA!$F:$F, "GEN", STUDENTDATA!$G:$G, "A")</f>
        <v>0</v>
      </c>
      <c r="AA32" s="23">
        <f>COUNTIFS(STUDENTDATA!$A:$A, "7", STUDENTDATA!$F:$F, "GEN", STUDENTDATA!$G:$G, "B")</f>
        <v>0</v>
      </c>
      <c r="AB32" s="23">
        <f>COUNTIFS(STUDENTDATA!$A:$A, "7", STUDENTDATA!$F:$F, "GEN", STUDENTDATA!$G:$G, "C")</f>
        <v>0</v>
      </c>
      <c r="AC32" s="23">
        <f>COUNTIFS(STUDENTDATA!$A:$A, "7", STUDENTDATA!$F:$F, "GEN", STUDENTDATA!$G:$G, "D")</f>
        <v>0</v>
      </c>
      <c r="AD32" s="23">
        <f>COUNTIFS(STUDENTDATA!$A:$A, "7", STUDENTDATA!$F:$F, "GEN", STUDENTDATA!$G:$G, "E")</f>
        <v>0</v>
      </c>
      <c r="AE32" s="23">
        <f t="shared" ref="AE32:AE34" si="47">Z32+AA32+AB32+AC32+AD32</f>
        <v>0</v>
      </c>
      <c r="AF32" s="23">
        <f>COUNTIFS(STUDENTDATA!$A:$A, "7", STUDENTDATA!$F:$F, "MIN", STUDENTDATA!$G:$G, "A")</f>
        <v>0</v>
      </c>
      <c r="AG32" s="23">
        <f>COUNTIFS(STUDENTDATA!$A:$A, "7", STUDENTDATA!$F:$F, "MIN", STUDENTDATA!$G:$G, "B")</f>
        <v>0</v>
      </c>
      <c r="AH32" s="23">
        <f>COUNTIFS(STUDENTDATA!$A:$A, "7", STUDENTDATA!$F:$F, "MIN", STUDENTDATA!$G:$G, "C")</f>
        <v>0</v>
      </c>
      <c r="AI32" s="23">
        <f>COUNTIFS(STUDENTDATA!$A:$A, "7", STUDENTDATA!$F:$F, "MIN", STUDENTDATA!$G:$G, "D")</f>
        <v>0</v>
      </c>
      <c r="AJ32" s="23">
        <f>COUNTIFS(STUDENTDATA!$A:$A, "7", STUDENTDATA!$F:$F, "MIN", STUDENTDATA!$G:$G, "E")</f>
        <v>0</v>
      </c>
      <c r="AK32" s="23">
        <f t="shared" ref="AK32:AK34" si="48">AF32+AG32+AH32+AI32+AJ32</f>
        <v>0</v>
      </c>
      <c r="AL32" s="23">
        <f>B32+H32+N32+T32+Z32+AF32</f>
        <v>0</v>
      </c>
      <c r="AM32" s="23">
        <f t="shared" ref="AM32" si="49">C32+I32+O32+U32+AA32+AG32</f>
        <v>0</v>
      </c>
      <c r="AN32" s="23">
        <f t="shared" ref="AN32" si="50">D32+J32+P32+V32+AB32+AH32</f>
        <v>0</v>
      </c>
      <c r="AO32" s="23">
        <f>E32+K32+Q32+W32+AC32+AI32</f>
        <v>0</v>
      </c>
      <c r="AP32" s="23">
        <f t="shared" ref="AP32" si="51">F32+L32+R32+X32+AD32+AJ32</f>
        <v>0</v>
      </c>
      <c r="AQ32" s="23">
        <f t="shared" ref="AQ32" si="52">AL32+AM32+AN32+AO32+AP32</f>
        <v>0</v>
      </c>
    </row>
    <row r="33" spans="1:43" s="19" customFormat="1" ht="27" customHeight="1" x14ac:dyDescent="0.25">
      <c r="A33" s="106" t="str">
        <f ca="1">IF(LIFAFA3!F8=0, "", TEXT(G32/LIFAFA3!F8, "0.00%"))</f>
        <v/>
      </c>
      <c r="B33" s="107"/>
      <c r="C33" s="107"/>
      <c r="D33" s="107"/>
      <c r="E33" s="107"/>
      <c r="F33" s="107"/>
      <c r="G33" s="108"/>
      <c r="H33" s="106" t="str">
        <f ca="1">IF(LIFAFA3!I8=0, "", TEXT(M32/LIFAFA3!I8, "0.00%"))</f>
        <v/>
      </c>
      <c r="I33" s="107"/>
      <c r="J33" s="107"/>
      <c r="K33" s="107"/>
      <c r="L33" s="107"/>
      <c r="M33" s="108"/>
      <c r="N33" s="106" t="str">
        <f ca="1">IF(LIFAFA3!L8=0, "", TEXT(S32/LIFAFA3!L8, "0.00%"))</f>
        <v/>
      </c>
      <c r="O33" s="107"/>
      <c r="P33" s="107"/>
      <c r="Q33" s="107"/>
      <c r="R33" s="107"/>
      <c r="S33" s="108"/>
      <c r="T33" s="106" t="str">
        <f ca="1">IF(LIFAFA3!O8=0, "", TEXT(Y32/LIFAFA3!O8, "0.00%"))</f>
        <v/>
      </c>
      <c r="U33" s="107"/>
      <c r="V33" s="107"/>
      <c r="W33" s="107"/>
      <c r="X33" s="107"/>
      <c r="Y33" s="108"/>
      <c r="Z33" s="106" t="str">
        <f ca="1">IF(LIFAFA3!R8=0, "", TEXT(AE32/LIFAFA3!R8, "0.00%"))</f>
        <v/>
      </c>
      <c r="AA33" s="107"/>
      <c r="AB33" s="107"/>
      <c r="AC33" s="107"/>
      <c r="AD33" s="107"/>
      <c r="AE33" s="107"/>
      <c r="AF33" s="109" t="str">
        <f ca="1">IF(LIFAFA3!U8=0, "", TEXT(AK32/LIFAFA3!U8, "0.00%"))</f>
        <v/>
      </c>
      <c r="AG33" s="109"/>
      <c r="AH33" s="109"/>
      <c r="AI33" s="109"/>
      <c r="AJ33" s="109"/>
      <c r="AK33" s="109"/>
      <c r="AL33" s="109" t="str">
        <f ca="1">IF(LIFAFA3!X8=0, "", TEXT(AQ32/LIFAFA3!X8, "0.00%"))</f>
        <v/>
      </c>
      <c r="AM33" s="109"/>
      <c r="AN33" s="109"/>
      <c r="AO33" s="109"/>
      <c r="AP33" s="109"/>
      <c r="AQ33" s="109"/>
    </row>
    <row r="34" spans="1:43" s="19" customFormat="1" ht="57" customHeight="1" x14ac:dyDescent="0.25">
      <c r="A34" s="23">
        <v>8</v>
      </c>
      <c r="B34" s="23">
        <f>COUNTIFS(STUDENTDATA!$A:$A, "8", STUDENTDATA!$F:$F, "SC", STUDENTDATA!$G:$G, "A")</f>
        <v>0</v>
      </c>
      <c r="C34" s="23">
        <f>COUNTIFS(STUDENTDATA!$A:$A, "8", STUDENTDATA!$F:$F, "SC", STUDENTDATA!$G:$G, "B")</f>
        <v>0</v>
      </c>
      <c r="D34" s="23">
        <f>COUNTIFS(STUDENTDATA!$A:$A, "8", STUDENTDATA!$F:$F, "SC", STUDENTDATA!$G:$G, "C")</f>
        <v>0</v>
      </c>
      <c r="E34" s="23">
        <f>COUNTIFS(STUDENTDATA!$A:$A, "8", STUDENTDATA!$F:$F, "SC", STUDENTDATA!$G:$G, "D")</f>
        <v>0</v>
      </c>
      <c r="F34" s="23">
        <f>COUNTIFS(STUDENTDATA!$A:$A, "8", STUDENTDATA!$F:$F, "SC", STUDENTDATA!$G:$G, "E")</f>
        <v>0</v>
      </c>
      <c r="G34" s="23">
        <f t="shared" si="43"/>
        <v>0</v>
      </c>
      <c r="H34" s="23">
        <f>COUNTIFS(STUDENTDATA!$A:$A, "8", STUDENTDATA!$F:$F, "ST", STUDENTDATA!$G:$G, "A")</f>
        <v>0</v>
      </c>
      <c r="I34" s="23">
        <f>COUNTIFS(STUDENTDATA!$A:$A, "8", STUDENTDATA!$F:$F, "ST", STUDENTDATA!$G:$G, "B")</f>
        <v>0</v>
      </c>
      <c r="J34" s="23">
        <f>COUNTIFS(STUDENTDATA!$A:$A, "8", STUDENTDATA!$F:$F, "ST", STUDENTDATA!$G:$G, "C")</f>
        <v>0</v>
      </c>
      <c r="K34" s="23">
        <f>COUNTIFS(STUDENTDATA!$A:$A, "8", STUDENTDATA!$F:$F, "ST", STUDENTDATA!$G:$G, "D")</f>
        <v>0</v>
      </c>
      <c r="L34" s="23">
        <f>COUNTIFS(STUDENTDATA!$A:$A, "8", STUDENTDATA!$F:$F, "ST", STUDENTDATA!$G:$G, "E")</f>
        <v>0</v>
      </c>
      <c r="M34" s="23">
        <f t="shared" si="44"/>
        <v>0</v>
      </c>
      <c r="N34" s="23">
        <f>COUNTIFS(STUDENTDATA!$A:$A, "8", STUDENTDATA!$F:$F, "OBC", STUDENTDATA!$G:$G, "A")</f>
        <v>0</v>
      </c>
      <c r="O34" s="23">
        <f>COUNTIFS(STUDENTDATA!$A:$A, "8", STUDENTDATA!$F:$F, "OBC", STUDENTDATA!$G:$G, "B")</f>
        <v>0</v>
      </c>
      <c r="P34" s="23">
        <f>COUNTIFS(STUDENTDATA!$A:$A, "8", STUDENTDATA!$F:$F, "OBC", STUDENTDATA!$G:$G, "C")</f>
        <v>0</v>
      </c>
      <c r="Q34" s="23">
        <f>COUNTIFS(STUDENTDATA!$A:$A, "8", STUDENTDATA!$F:$F, "OBC", STUDENTDATA!$G:$G, "D")</f>
        <v>0</v>
      </c>
      <c r="R34" s="23">
        <f>COUNTIFS(STUDENTDATA!$A:$A, "8", STUDENTDATA!$F:$F, "OBC", STUDENTDATA!$G:$G, "E")</f>
        <v>0</v>
      </c>
      <c r="S34" s="23">
        <f t="shared" si="45"/>
        <v>0</v>
      </c>
      <c r="T34" s="23">
        <f>COUNTIFS(STUDENTDATA!$A:$A, "8", STUDENTDATA!$F:$F, "SBC", STUDENTDATA!$G:$G, "A")</f>
        <v>0</v>
      </c>
      <c r="U34" s="23">
        <f>COUNTIFS(STUDENTDATA!$A:$A, "8", STUDENTDATA!$F:$F, "SBC", STUDENTDATA!$G:$G, "B")</f>
        <v>0</v>
      </c>
      <c r="V34" s="23">
        <f>COUNTIFS(STUDENTDATA!$A:$A, "8", STUDENTDATA!$F:$F, "SBC", STUDENTDATA!$G:$G, "C")</f>
        <v>0</v>
      </c>
      <c r="W34" s="23">
        <f>COUNTIFS(STUDENTDATA!$A:$A, "8", STUDENTDATA!$F:$F, "SBC", STUDENTDATA!$G:$G, "D")</f>
        <v>0</v>
      </c>
      <c r="X34" s="23">
        <f>COUNTIFS(STUDENTDATA!$A:$A, "8", STUDENTDATA!$F:$F, "SBC", STUDENTDATA!$G:$G, "E")</f>
        <v>0</v>
      </c>
      <c r="Y34" s="23">
        <f t="shared" si="46"/>
        <v>0</v>
      </c>
      <c r="Z34" s="23">
        <f>COUNTIFS(STUDENTDATA!$A:$A, "8", STUDENTDATA!$F:$F, "GEN", STUDENTDATA!$G:$G, "A")</f>
        <v>0</v>
      </c>
      <c r="AA34" s="23">
        <f>COUNTIFS(STUDENTDATA!$A:$A, "8", STUDENTDATA!$F:$F, "GEN", STUDENTDATA!$G:$G, "B")</f>
        <v>0</v>
      </c>
      <c r="AB34" s="23">
        <f>COUNTIFS(STUDENTDATA!$A:$A, "8", STUDENTDATA!$F:$F, "GEN", STUDENTDATA!$G:$G, "C")</f>
        <v>0</v>
      </c>
      <c r="AC34" s="23">
        <f>COUNTIFS(STUDENTDATA!$A:$A, "8", STUDENTDATA!$F:$F, "GEN", STUDENTDATA!$G:$G, "D")</f>
        <v>0</v>
      </c>
      <c r="AD34" s="23">
        <f>COUNTIFS(STUDENTDATA!$A:$A, "8", STUDENTDATA!$F:$F, "GEN", STUDENTDATA!$G:$G, "E")</f>
        <v>0</v>
      </c>
      <c r="AE34" s="23">
        <f t="shared" si="47"/>
        <v>0</v>
      </c>
      <c r="AF34" s="23">
        <f>COUNTIFS(STUDENTDATA!$A:$A, "8", STUDENTDATA!$F:$F, "MIN", STUDENTDATA!$G:$G, "A")</f>
        <v>0</v>
      </c>
      <c r="AG34" s="23">
        <f>COUNTIFS(STUDENTDATA!$A:$A, "8", STUDENTDATA!$F:$F, "MIN", STUDENTDATA!$G:$G, "B")</f>
        <v>0</v>
      </c>
      <c r="AH34" s="23">
        <f>COUNTIFS(STUDENTDATA!$A:$A, "8", STUDENTDATA!$F:$F, "MIN", STUDENTDATA!$G:$G, "C")</f>
        <v>0</v>
      </c>
      <c r="AI34" s="23">
        <f>COUNTIFS(STUDENTDATA!$A:$A, "8", STUDENTDATA!$F:$F, "MIN", STUDENTDATA!$G:$G, "D")</f>
        <v>0</v>
      </c>
      <c r="AJ34" s="23">
        <f>COUNTIFS(STUDENTDATA!$A:$A, "8", STUDENTDATA!$F:$F, "MIN", STUDENTDATA!$G:$G, "E")</f>
        <v>0</v>
      </c>
      <c r="AK34" s="23">
        <f t="shared" si="48"/>
        <v>0</v>
      </c>
      <c r="AL34" s="23">
        <f>B34+H34+N34+T34+Z34+AF34</f>
        <v>0</v>
      </c>
      <c r="AM34" s="23">
        <f t="shared" ref="AM34" si="53">C34+I34+O34+U34+AA34+AG34</f>
        <v>0</v>
      </c>
      <c r="AN34" s="23">
        <f t="shared" ref="AN34" si="54">D34+J34+P34+V34+AB34+AH34</f>
        <v>0</v>
      </c>
      <c r="AO34" s="23">
        <f>E34+K34+Q34+W34+AC34+AI34</f>
        <v>0</v>
      </c>
      <c r="AP34" s="23">
        <f t="shared" ref="AP34" si="55">F34+L34+R34+X34+AD34+AJ34</f>
        <v>0</v>
      </c>
      <c r="AQ34" s="23">
        <f t="shared" ref="AQ34" si="56">AL34+AM34+AN34+AO34+AP34</f>
        <v>0</v>
      </c>
    </row>
    <row r="35" spans="1:43" s="19" customFormat="1" ht="22.5" customHeight="1" x14ac:dyDescent="0.25">
      <c r="A35" s="106" t="str">
        <f ca="1">IF(LIFAFA3!F9=0, "", TEXT(G34/LIFAFA3!F9, "0.00%"))</f>
        <v/>
      </c>
      <c r="B35" s="107"/>
      <c r="C35" s="107"/>
      <c r="D35" s="107"/>
      <c r="E35" s="107"/>
      <c r="F35" s="107"/>
      <c r="G35" s="108"/>
      <c r="H35" s="106" t="str">
        <f ca="1">IF(LIFAFA3!I9=0, "", TEXT(M34/LIFAFA3!I9, "0.00%"))</f>
        <v/>
      </c>
      <c r="I35" s="107"/>
      <c r="J35" s="107"/>
      <c r="K35" s="107"/>
      <c r="L35" s="107"/>
      <c r="M35" s="108"/>
      <c r="N35" s="106" t="str">
        <f ca="1">IF(LIFAFA3!L9=0, "", TEXT(S34/LIFAFA3!L9, "0.00%"))</f>
        <v/>
      </c>
      <c r="O35" s="107"/>
      <c r="P35" s="107"/>
      <c r="Q35" s="107"/>
      <c r="R35" s="107"/>
      <c r="S35" s="108"/>
      <c r="T35" s="106" t="str">
        <f ca="1">IF(LIFAFA3!O9=0, "", TEXT(Y34/LIFAFA3!O9, "0.00%"))</f>
        <v/>
      </c>
      <c r="U35" s="107"/>
      <c r="V35" s="107"/>
      <c r="W35" s="107"/>
      <c r="X35" s="107"/>
      <c r="Y35" s="108"/>
      <c r="Z35" s="106" t="str">
        <f ca="1">IF(LIFAFA3!R9=0, "", TEXT(AE34/LIFAFA3!R9, "0.00%"))</f>
        <v/>
      </c>
      <c r="AA35" s="107"/>
      <c r="AB35" s="107"/>
      <c r="AC35" s="107"/>
      <c r="AD35" s="107"/>
      <c r="AE35" s="107"/>
      <c r="AF35" s="109" t="str">
        <f ca="1">IF(LIFAFA3!U9=0, "", TEXT(AK34/LIFAFA3!U9, "0.00%"))</f>
        <v/>
      </c>
      <c r="AG35" s="109"/>
      <c r="AH35" s="109"/>
      <c r="AI35" s="109"/>
      <c r="AJ35" s="109"/>
      <c r="AK35" s="109"/>
      <c r="AL35" s="109" t="str">
        <f ca="1">IF(LIFAFA3!X9=0, "", TEXT(AQ34/LIFAFA3!X9, "0.00%"))</f>
        <v/>
      </c>
      <c r="AM35" s="109"/>
      <c r="AN35" s="109"/>
      <c r="AO35" s="109"/>
      <c r="AP35" s="109"/>
      <c r="AQ35" s="109"/>
    </row>
  </sheetData>
  <sheetProtection algorithmName="SHA-512" hashValue="/my0r7109bO43My9W21lHS2ckyStieuMPEISyC1N/IS23JkiSPUWPoviC0zbr+3QIxDQn61c0xkorNpWDK/dig==" saltValue="p20YzHkYbkjTJ4Y181KuZg==" spinCount="100000" sheet="1" objects="1" scenarios="1"/>
  <mergeCells count="59">
    <mergeCell ref="S5:U5"/>
    <mergeCell ref="B2:X2"/>
    <mergeCell ref="B3:X3"/>
    <mergeCell ref="B4:B6"/>
    <mergeCell ref="C4:C6"/>
    <mergeCell ref="D4:U4"/>
    <mergeCell ref="V4:X5"/>
    <mergeCell ref="D5:F5"/>
    <mergeCell ref="G5:I5"/>
    <mergeCell ref="J5:L5"/>
    <mergeCell ref="M5:O5"/>
    <mergeCell ref="P5:R5"/>
    <mergeCell ref="N13:S13"/>
    <mergeCell ref="T13:Y13"/>
    <mergeCell ref="Z13:AE13"/>
    <mergeCell ref="AF13:AK13"/>
    <mergeCell ref="A20:A22"/>
    <mergeCell ref="B20:AK20"/>
    <mergeCell ref="B21:G21"/>
    <mergeCell ref="H21:M21"/>
    <mergeCell ref="N21:S21"/>
    <mergeCell ref="T21:Y21"/>
    <mergeCell ref="Z21:AE21"/>
    <mergeCell ref="AF21:AK21"/>
    <mergeCell ref="A12:A14"/>
    <mergeCell ref="B12:AK12"/>
    <mergeCell ref="B13:G13"/>
    <mergeCell ref="H13:M13"/>
    <mergeCell ref="AL21:AQ21"/>
    <mergeCell ref="B28:G28"/>
    <mergeCell ref="H28:M28"/>
    <mergeCell ref="N28:S28"/>
    <mergeCell ref="T28:Y28"/>
    <mergeCell ref="Z28:AE28"/>
    <mergeCell ref="AF28:AK28"/>
    <mergeCell ref="A27:AQ27"/>
    <mergeCell ref="AL28:AQ28"/>
    <mergeCell ref="A28:A29"/>
    <mergeCell ref="AL31:AQ31"/>
    <mergeCell ref="AL33:AQ33"/>
    <mergeCell ref="AL35:AQ35"/>
    <mergeCell ref="A31:G31"/>
    <mergeCell ref="H31:M31"/>
    <mergeCell ref="N31:S31"/>
    <mergeCell ref="T31:Y31"/>
    <mergeCell ref="Z31:AE31"/>
    <mergeCell ref="AF31:AK31"/>
    <mergeCell ref="A33:G33"/>
    <mergeCell ref="H33:M33"/>
    <mergeCell ref="N33:S33"/>
    <mergeCell ref="T33:Y33"/>
    <mergeCell ref="Z33:AE33"/>
    <mergeCell ref="AF33:AK33"/>
    <mergeCell ref="A35:G35"/>
    <mergeCell ref="H35:M35"/>
    <mergeCell ref="N35:S35"/>
    <mergeCell ref="T35:Y35"/>
    <mergeCell ref="Z35:AE35"/>
    <mergeCell ref="AF35:AK35"/>
  </mergeCells>
  <conditionalFormatting sqref="A1:BE701">
    <cfRule type="cellIs" dxfId="7" priority="1" operator="equal">
      <formula>0</formula>
    </cfRule>
  </conditionalFormatting>
  <pageMargins left="0.18" right="0.14000000000000001" top="0.75" bottom="0.75" header="0.3" footer="0.3"/>
  <pageSetup paperSize="9" scale="35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CF757C-6D68-44B2-8A94-BD12220AE5AE}">
  <sheetPr codeName="Sheet7">
    <pageSetUpPr fitToPage="1"/>
  </sheetPr>
  <dimension ref="A1:K42"/>
  <sheetViews>
    <sheetView showGridLines="0" zoomScale="130" zoomScaleNormal="130" workbookViewId="0">
      <selection activeCell="J8" sqref="J8"/>
    </sheetView>
  </sheetViews>
  <sheetFormatPr defaultRowHeight="15" x14ac:dyDescent="0.25"/>
  <cols>
    <col min="1" max="1" width="11.85546875" style="31" bestFit="1" customWidth="1"/>
    <col min="2" max="2" width="5.140625" style="31" bestFit="1" customWidth="1"/>
    <col min="3" max="3" width="21.28515625" style="31" customWidth="1"/>
    <col min="4" max="4" width="11" style="31" bestFit="1" customWidth="1"/>
    <col min="5" max="5" width="17.42578125" style="31" customWidth="1"/>
    <col min="6" max="6" width="7.42578125" style="31" customWidth="1"/>
    <col min="7" max="7" width="5.5703125" style="31" customWidth="1"/>
    <col min="8" max="8" width="7.85546875" style="31" customWidth="1"/>
    <col min="9" max="9" width="7.7109375" style="31" customWidth="1"/>
    <col min="10" max="10" width="8.28515625" style="31" customWidth="1"/>
    <col min="11" max="11" width="37.85546875" style="31" customWidth="1"/>
    <col min="12" max="16384" width="9.140625" style="28"/>
  </cols>
  <sheetData>
    <row r="1" spans="1:11" ht="27" customHeight="1" x14ac:dyDescent="0.25">
      <c r="A1" s="114" t="str">
        <f>LIFAFA2!A1</f>
        <v xml:space="preserve">राजकीय उच्च माध्यमिक विद्यालय ,मोराझड़ी (214242) श्रीनगर 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</row>
    <row r="2" spans="1:11" ht="15.75" x14ac:dyDescent="0.25">
      <c r="A2" s="24"/>
      <c r="B2" s="81" t="s">
        <v>1410</v>
      </c>
      <c r="C2" s="81"/>
      <c r="D2" s="81"/>
      <c r="E2" s="81"/>
      <c r="F2" s="81"/>
      <c r="G2" s="81"/>
      <c r="H2" s="81"/>
      <c r="I2" s="81"/>
      <c r="J2" s="81"/>
      <c r="K2" s="81"/>
    </row>
    <row r="3" spans="1:11" ht="23.25" customHeight="1" x14ac:dyDescent="0.25">
      <c r="A3" s="32" t="s">
        <v>0</v>
      </c>
      <c r="B3" s="33" t="s">
        <v>1</v>
      </c>
      <c r="C3" s="33" t="s">
        <v>1411</v>
      </c>
      <c r="D3" s="33" t="s">
        <v>1412</v>
      </c>
      <c r="E3" s="33" t="s">
        <v>1413</v>
      </c>
      <c r="F3" s="33" t="s">
        <v>1414</v>
      </c>
      <c r="G3" s="33" t="s">
        <v>1415</v>
      </c>
      <c r="H3" s="33" t="s">
        <v>1416</v>
      </c>
      <c r="I3" s="33" t="s">
        <v>1417</v>
      </c>
      <c r="J3" s="33" t="s">
        <v>1418</v>
      </c>
      <c r="K3" s="33" t="s">
        <v>1419</v>
      </c>
    </row>
    <row r="4" spans="1:11" ht="21" x14ac:dyDescent="0.25">
      <c r="A4" s="34">
        <v>12040</v>
      </c>
      <c r="B4" s="34">
        <v>1</v>
      </c>
      <c r="C4" s="34" t="s">
        <v>1438</v>
      </c>
      <c r="D4" s="34" t="s">
        <v>11</v>
      </c>
      <c r="E4" s="34" t="s">
        <v>1420</v>
      </c>
      <c r="F4" s="34" t="s">
        <v>6</v>
      </c>
      <c r="G4" s="34">
        <v>9</v>
      </c>
      <c r="H4" s="34">
        <v>1200</v>
      </c>
      <c r="I4" s="34">
        <v>1200</v>
      </c>
      <c r="J4" s="36">
        <f>IFERROR(I4*100/H4,"")</f>
        <v>100</v>
      </c>
      <c r="K4" s="34" t="s">
        <v>1424</v>
      </c>
    </row>
    <row r="5" spans="1:11" ht="21" x14ac:dyDescent="0.25">
      <c r="A5" s="34">
        <v>12040</v>
      </c>
      <c r="B5" s="34">
        <v>2</v>
      </c>
      <c r="C5" s="34" t="s">
        <v>1421</v>
      </c>
      <c r="D5" s="34" t="s">
        <v>11</v>
      </c>
      <c r="E5" s="34" t="s">
        <v>1422</v>
      </c>
      <c r="F5" s="34" t="s">
        <v>6</v>
      </c>
      <c r="G5" s="34">
        <v>9</v>
      </c>
      <c r="H5" s="34">
        <v>1200</v>
      </c>
      <c r="I5" s="34">
        <v>1013</v>
      </c>
      <c r="J5" s="36">
        <f t="shared" ref="J5:J23" si="0">IFERROR(I5*100/H5,"")</f>
        <v>84.416666666666671</v>
      </c>
      <c r="K5" s="34" t="s">
        <v>1423</v>
      </c>
    </row>
    <row r="6" spans="1:11" ht="21" x14ac:dyDescent="0.45">
      <c r="A6" s="35"/>
      <c r="B6" s="35"/>
      <c r="C6" s="35"/>
      <c r="D6" s="35"/>
      <c r="E6" s="35"/>
      <c r="F6" s="35"/>
      <c r="G6" s="35"/>
      <c r="H6" s="35"/>
      <c r="I6" s="35"/>
      <c r="J6" s="36" t="str">
        <f t="shared" si="0"/>
        <v/>
      </c>
      <c r="K6" s="35"/>
    </row>
    <row r="7" spans="1:11" ht="21" x14ac:dyDescent="0.45">
      <c r="A7" s="35"/>
      <c r="B7" s="35"/>
      <c r="C7" s="35"/>
      <c r="D7" s="35"/>
      <c r="E7" s="35"/>
      <c r="F7" s="35"/>
      <c r="G7" s="35"/>
      <c r="H7" s="35"/>
      <c r="I7" s="35"/>
      <c r="J7" s="36" t="str">
        <f t="shared" si="0"/>
        <v/>
      </c>
      <c r="K7" s="35"/>
    </row>
    <row r="8" spans="1:11" ht="21" x14ac:dyDescent="0.45">
      <c r="A8" s="35"/>
      <c r="B8" s="35"/>
      <c r="C8" s="35"/>
      <c r="D8" s="35"/>
      <c r="E8" s="35"/>
      <c r="F8" s="35"/>
      <c r="G8" s="35"/>
      <c r="H8" s="35"/>
      <c r="I8" s="35"/>
      <c r="J8" s="36" t="str">
        <f t="shared" si="0"/>
        <v/>
      </c>
      <c r="K8" s="35"/>
    </row>
    <row r="9" spans="1:11" ht="21" x14ac:dyDescent="0.45">
      <c r="A9" s="35"/>
      <c r="B9" s="35"/>
      <c r="C9" s="35"/>
      <c r="D9" s="35"/>
      <c r="E9" s="35"/>
      <c r="F9" s="35"/>
      <c r="G9" s="35"/>
      <c r="H9" s="35"/>
      <c r="I9" s="35"/>
      <c r="J9" s="36" t="str">
        <f t="shared" si="0"/>
        <v/>
      </c>
      <c r="K9" s="35"/>
    </row>
    <row r="10" spans="1:11" ht="21" x14ac:dyDescent="0.45">
      <c r="A10" s="35"/>
      <c r="B10" s="35"/>
      <c r="C10" s="35"/>
      <c r="D10" s="35"/>
      <c r="E10" s="35"/>
      <c r="F10" s="35"/>
      <c r="G10" s="35"/>
      <c r="H10" s="35"/>
      <c r="I10" s="35"/>
      <c r="J10" s="36" t="str">
        <f t="shared" si="0"/>
        <v/>
      </c>
      <c r="K10" s="35"/>
    </row>
    <row r="11" spans="1:11" ht="21" x14ac:dyDescent="0.45">
      <c r="A11" s="35"/>
      <c r="B11" s="35"/>
      <c r="C11" s="35"/>
      <c r="D11" s="35"/>
      <c r="E11" s="35"/>
      <c r="F11" s="35"/>
      <c r="G11" s="35"/>
      <c r="H11" s="35"/>
      <c r="I11" s="35"/>
      <c r="J11" s="36" t="str">
        <f t="shared" si="0"/>
        <v/>
      </c>
      <c r="K11" s="35"/>
    </row>
    <row r="12" spans="1:11" ht="21" x14ac:dyDescent="0.45">
      <c r="A12" s="35"/>
      <c r="B12" s="35"/>
      <c r="C12" s="35"/>
      <c r="D12" s="35"/>
      <c r="E12" s="35"/>
      <c r="F12" s="35"/>
      <c r="G12" s="35"/>
      <c r="H12" s="35"/>
      <c r="I12" s="35"/>
      <c r="J12" s="36" t="str">
        <f t="shared" si="0"/>
        <v/>
      </c>
      <c r="K12" s="35"/>
    </row>
    <row r="13" spans="1:11" ht="21" x14ac:dyDescent="0.45">
      <c r="A13" s="35"/>
      <c r="B13" s="35"/>
      <c r="C13" s="35"/>
      <c r="D13" s="35"/>
      <c r="E13" s="35"/>
      <c r="F13" s="35"/>
      <c r="G13" s="35"/>
      <c r="H13" s="35"/>
      <c r="I13" s="35"/>
      <c r="J13" s="36" t="str">
        <f t="shared" si="0"/>
        <v/>
      </c>
      <c r="K13" s="35"/>
    </row>
    <row r="14" spans="1:11" ht="21" x14ac:dyDescent="0.45">
      <c r="A14" s="35"/>
      <c r="B14" s="35"/>
      <c r="C14" s="35"/>
      <c r="D14" s="35"/>
      <c r="E14" s="35"/>
      <c r="F14" s="35"/>
      <c r="G14" s="35"/>
      <c r="H14" s="35"/>
      <c r="I14" s="35"/>
      <c r="J14" s="36" t="str">
        <f t="shared" si="0"/>
        <v/>
      </c>
      <c r="K14" s="35"/>
    </row>
    <row r="15" spans="1:11" ht="21" x14ac:dyDescent="0.45">
      <c r="A15" s="35"/>
      <c r="B15" s="35"/>
      <c r="C15" s="35"/>
      <c r="D15" s="35"/>
      <c r="E15" s="35"/>
      <c r="F15" s="35"/>
      <c r="G15" s="35"/>
      <c r="H15" s="35"/>
      <c r="I15" s="35"/>
      <c r="J15" s="36" t="str">
        <f t="shared" si="0"/>
        <v/>
      </c>
      <c r="K15" s="35"/>
    </row>
    <row r="16" spans="1:11" ht="21" x14ac:dyDescent="0.45">
      <c r="A16" s="35"/>
      <c r="B16" s="35"/>
      <c r="C16" s="35"/>
      <c r="D16" s="35"/>
      <c r="E16" s="35"/>
      <c r="F16" s="35"/>
      <c r="G16" s="35"/>
      <c r="H16" s="35"/>
      <c r="I16" s="35"/>
      <c r="J16" s="36" t="str">
        <f t="shared" si="0"/>
        <v/>
      </c>
      <c r="K16" s="35"/>
    </row>
    <row r="17" spans="1:11" ht="21" x14ac:dyDescent="0.45">
      <c r="A17" s="35"/>
      <c r="B17" s="35"/>
      <c r="C17" s="35"/>
      <c r="D17" s="35"/>
      <c r="E17" s="35"/>
      <c r="F17" s="35"/>
      <c r="G17" s="35"/>
      <c r="H17" s="35"/>
      <c r="I17" s="35"/>
      <c r="J17" s="36" t="str">
        <f t="shared" si="0"/>
        <v/>
      </c>
      <c r="K17" s="35"/>
    </row>
    <row r="18" spans="1:11" ht="21" x14ac:dyDescent="0.45">
      <c r="A18" s="35"/>
      <c r="B18" s="35"/>
      <c r="C18" s="35"/>
      <c r="D18" s="35"/>
      <c r="E18" s="35"/>
      <c r="F18" s="35"/>
      <c r="G18" s="35"/>
      <c r="H18" s="35"/>
      <c r="I18" s="35"/>
      <c r="J18" s="36" t="str">
        <f t="shared" si="0"/>
        <v/>
      </c>
      <c r="K18" s="35"/>
    </row>
    <row r="19" spans="1:11" ht="21" x14ac:dyDescent="0.45">
      <c r="A19" s="35"/>
      <c r="B19" s="35"/>
      <c r="C19" s="35"/>
      <c r="D19" s="35"/>
      <c r="E19" s="35"/>
      <c r="F19" s="35"/>
      <c r="G19" s="35"/>
      <c r="H19" s="35"/>
      <c r="I19" s="35"/>
      <c r="J19" s="36" t="str">
        <f t="shared" si="0"/>
        <v/>
      </c>
      <c r="K19" s="35"/>
    </row>
    <row r="20" spans="1:11" ht="21" x14ac:dyDescent="0.45">
      <c r="A20" s="35"/>
      <c r="B20" s="35"/>
      <c r="C20" s="35"/>
      <c r="D20" s="35"/>
      <c r="E20" s="35"/>
      <c r="F20" s="35"/>
      <c r="G20" s="35"/>
      <c r="H20" s="35"/>
      <c r="I20" s="35"/>
      <c r="J20" s="36" t="str">
        <f t="shared" si="0"/>
        <v/>
      </c>
      <c r="K20" s="35"/>
    </row>
    <row r="21" spans="1:11" ht="21" x14ac:dyDescent="0.45">
      <c r="A21" s="35"/>
      <c r="B21" s="35"/>
      <c r="C21" s="35"/>
      <c r="D21" s="35"/>
      <c r="E21" s="35"/>
      <c r="F21" s="35"/>
      <c r="G21" s="35"/>
      <c r="H21" s="35"/>
      <c r="I21" s="35"/>
      <c r="J21" s="36" t="str">
        <f t="shared" si="0"/>
        <v/>
      </c>
      <c r="K21" s="35"/>
    </row>
    <row r="22" spans="1:11" ht="21" x14ac:dyDescent="0.45">
      <c r="A22" s="35"/>
      <c r="B22" s="35"/>
      <c r="C22" s="35"/>
      <c r="D22" s="35"/>
      <c r="E22" s="35"/>
      <c r="F22" s="35"/>
      <c r="G22" s="35"/>
      <c r="H22" s="35"/>
      <c r="I22" s="35"/>
      <c r="J22" s="36" t="str">
        <f t="shared" si="0"/>
        <v/>
      </c>
      <c r="K22" s="35"/>
    </row>
    <row r="23" spans="1:11" ht="21" x14ac:dyDescent="0.45">
      <c r="A23" s="35"/>
      <c r="B23" s="35"/>
      <c r="C23" s="35"/>
      <c r="D23" s="35"/>
      <c r="E23" s="35"/>
      <c r="F23" s="35"/>
      <c r="G23" s="35"/>
      <c r="H23" s="35"/>
      <c r="I23" s="35"/>
      <c r="J23" s="36" t="str">
        <f t="shared" si="0"/>
        <v/>
      </c>
      <c r="K23" s="35"/>
    </row>
    <row r="24" spans="1:11" ht="21" x14ac:dyDescent="0.45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</row>
    <row r="25" spans="1:11" ht="17.25" x14ac:dyDescent="0.4">
      <c r="A25" s="30"/>
      <c r="B25" s="30"/>
      <c r="C25" s="30"/>
      <c r="D25" s="30"/>
      <c r="E25" s="30"/>
      <c r="F25" s="30"/>
      <c r="G25" s="30"/>
      <c r="H25" s="30"/>
      <c r="I25" s="30"/>
      <c r="J25" s="30"/>
      <c r="K25" s="30"/>
    </row>
    <row r="26" spans="1:11" ht="17.25" x14ac:dyDescent="0.4">
      <c r="A26" s="30"/>
      <c r="B26" s="30"/>
      <c r="C26" s="30"/>
      <c r="D26" s="30"/>
      <c r="E26" s="30"/>
      <c r="F26" s="30"/>
      <c r="G26" s="30"/>
      <c r="H26" s="30"/>
      <c r="I26" s="30"/>
      <c r="J26" s="30"/>
      <c r="K26" s="30"/>
    </row>
    <row r="27" spans="1:11" ht="17.25" x14ac:dyDescent="0.4">
      <c r="A27" s="30"/>
      <c r="B27" s="30"/>
      <c r="C27" s="30"/>
      <c r="D27" s="30"/>
      <c r="E27" s="30"/>
      <c r="F27" s="30"/>
      <c r="G27" s="30"/>
      <c r="H27" s="30"/>
      <c r="I27" s="30"/>
      <c r="J27" s="30"/>
      <c r="K27" s="30"/>
    </row>
    <row r="28" spans="1:11" ht="17.25" x14ac:dyDescent="0.4">
      <c r="A28" s="30"/>
      <c r="B28" s="30"/>
      <c r="C28" s="30"/>
      <c r="D28" s="30"/>
      <c r="E28" s="30"/>
      <c r="F28" s="30"/>
      <c r="G28" s="30"/>
      <c r="H28" s="30"/>
      <c r="I28" s="30"/>
      <c r="J28" s="30"/>
      <c r="K28" s="30"/>
    </row>
    <row r="29" spans="1:11" ht="17.25" x14ac:dyDescent="0.4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</row>
    <row r="30" spans="1:11" ht="17.25" x14ac:dyDescent="0.4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</row>
    <row r="31" spans="1:11" ht="17.25" x14ac:dyDescent="0.4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</row>
    <row r="32" spans="1:11" ht="17.25" x14ac:dyDescent="0.4">
      <c r="A32" s="30"/>
      <c r="B32" s="30"/>
      <c r="C32" s="30"/>
      <c r="D32" s="30"/>
      <c r="E32" s="30"/>
      <c r="F32" s="30"/>
      <c r="G32" s="30"/>
      <c r="H32" s="30"/>
      <c r="I32" s="30"/>
      <c r="J32" s="30"/>
      <c r="K32" s="30"/>
    </row>
    <row r="33" spans="1:11" ht="17.25" x14ac:dyDescent="0.4">
      <c r="A33" s="30"/>
      <c r="B33" s="30"/>
      <c r="C33" s="30"/>
      <c r="D33" s="30"/>
      <c r="E33" s="30"/>
      <c r="F33" s="30"/>
      <c r="G33" s="30"/>
      <c r="H33" s="30"/>
      <c r="I33" s="30"/>
      <c r="J33" s="30"/>
      <c r="K33" s="30"/>
    </row>
    <row r="34" spans="1:11" ht="17.25" x14ac:dyDescent="0.4">
      <c r="A34" s="30"/>
      <c r="B34" s="30"/>
      <c r="C34" s="30"/>
      <c r="D34" s="30"/>
      <c r="E34" s="30"/>
      <c r="F34" s="30"/>
      <c r="G34" s="30"/>
      <c r="H34" s="30"/>
      <c r="I34" s="30"/>
      <c r="J34" s="30"/>
      <c r="K34" s="30"/>
    </row>
    <row r="35" spans="1:11" ht="17.25" x14ac:dyDescent="0.4">
      <c r="A35" s="30"/>
      <c r="B35" s="30"/>
      <c r="C35" s="30"/>
      <c r="D35" s="30"/>
      <c r="E35" s="30"/>
      <c r="F35" s="30"/>
      <c r="G35" s="30"/>
      <c r="H35" s="30"/>
      <c r="I35" s="30"/>
      <c r="J35" s="30"/>
      <c r="K35" s="30"/>
    </row>
    <row r="36" spans="1:11" ht="17.25" x14ac:dyDescent="0.4">
      <c r="A36" s="30"/>
      <c r="B36" s="30"/>
      <c r="C36" s="30"/>
      <c r="D36" s="30"/>
      <c r="E36" s="30"/>
      <c r="F36" s="30"/>
      <c r="G36" s="30"/>
      <c r="H36" s="30"/>
      <c r="I36" s="30"/>
      <c r="J36" s="30"/>
      <c r="K36" s="30"/>
    </row>
    <row r="37" spans="1:11" ht="17.25" x14ac:dyDescent="0.4">
      <c r="A37" s="30"/>
      <c r="B37" s="30"/>
      <c r="C37" s="30"/>
      <c r="D37" s="30"/>
      <c r="E37" s="30"/>
      <c r="F37" s="30"/>
      <c r="G37" s="30"/>
      <c r="H37" s="30"/>
      <c r="I37" s="30"/>
      <c r="J37" s="30"/>
      <c r="K37" s="30"/>
    </row>
    <row r="38" spans="1:11" ht="17.25" x14ac:dyDescent="0.4">
      <c r="A38" s="30"/>
      <c r="B38" s="30"/>
      <c r="C38" s="30"/>
      <c r="D38" s="30"/>
      <c r="E38" s="30"/>
      <c r="F38" s="30"/>
      <c r="G38" s="30"/>
      <c r="H38" s="30"/>
      <c r="I38" s="30"/>
      <c r="J38" s="30"/>
      <c r="K38" s="30"/>
    </row>
    <row r="39" spans="1:11" ht="17.25" x14ac:dyDescent="0.4">
      <c r="A39" s="30"/>
      <c r="B39" s="30"/>
      <c r="C39" s="30"/>
      <c r="D39" s="30"/>
      <c r="E39" s="30"/>
      <c r="F39" s="30"/>
      <c r="G39" s="30"/>
      <c r="H39" s="30"/>
      <c r="I39" s="30"/>
      <c r="J39" s="30"/>
      <c r="K39" s="30"/>
    </row>
    <row r="40" spans="1:11" ht="17.25" x14ac:dyDescent="0.4">
      <c r="A40" s="30"/>
      <c r="B40" s="30"/>
      <c r="C40" s="30"/>
      <c r="D40" s="30"/>
      <c r="E40" s="30"/>
      <c r="F40" s="30"/>
      <c r="G40" s="30"/>
      <c r="H40" s="30"/>
      <c r="I40" s="30"/>
      <c r="J40" s="30"/>
      <c r="K40" s="30"/>
    </row>
    <row r="41" spans="1:11" ht="17.25" x14ac:dyDescent="0.4">
      <c r="A41" s="30"/>
      <c r="B41" s="30"/>
      <c r="C41" s="30"/>
      <c r="D41" s="30"/>
      <c r="E41" s="30"/>
      <c r="F41" s="30"/>
      <c r="G41" s="30"/>
      <c r="H41" s="30"/>
      <c r="I41" s="30"/>
      <c r="J41" s="30"/>
      <c r="K41" s="30"/>
    </row>
    <row r="42" spans="1:11" ht="17.25" x14ac:dyDescent="0.4">
      <c r="A42" s="30"/>
      <c r="B42" s="30"/>
      <c r="C42" s="30"/>
      <c r="D42" s="30"/>
      <c r="E42" s="30"/>
      <c r="F42" s="30"/>
      <c r="G42" s="30"/>
      <c r="H42" s="30"/>
      <c r="I42" s="30"/>
      <c r="J42" s="30"/>
      <c r="K42" s="30"/>
    </row>
  </sheetData>
  <sheetProtection algorithmName="SHA-512" hashValue="oZqacUCbam7oLrDfOIiCwY5tJ/5lTNNXQ1QRJGnGLq1xqkbUC+8ziv9XdGs0d7wohMewH3yp03kIUpx0iS/s2A==" saltValue="8n2mtyqjg6cyzo/AFZnc1Q==" spinCount="100000" sheet="1" objects="1" scenarios="1"/>
  <mergeCells count="2">
    <mergeCell ref="A1:K1"/>
    <mergeCell ref="B2:K2"/>
  </mergeCells>
  <conditionalFormatting sqref="A4:K23">
    <cfRule type="notContainsBlanks" dxfId="6" priority="1">
      <formula>LEN(TRIM(A4))&gt;0</formula>
    </cfRule>
  </conditionalFormatting>
  <pageMargins left="0.25" right="0.25" top="0.75" bottom="0.75" header="0.3" footer="0.3"/>
  <pageSetup paperSize="9" fitToHeight="0" orientation="landscape" r:id="rId1"/>
  <ignoredErrors>
    <ignoredError sqref="J4:J23" unlocked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7AA54C-9E5C-4478-AAD0-D82D7DCC2A7B}">
  <sheetPr codeName="Sheet8">
    <pageSetUpPr fitToPage="1"/>
  </sheetPr>
  <dimension ref="A1:N48"/>
  <sheetViews>
    <sheetView showGridLines="0" topLeftCell="D1" zoomScaleNormal="100" zoomScaleSheetLayoutView="55" workbookViewId="0">
      <selection sqref="A1:M1"/>
    </sheetView>
  </sheetViews>
  <sheetFormatPr defaultRowHeight="15" x14ac:dyDescent="0.25"/>
  <cols>
    <col min="1" max="1" width="6.42578125" style="15" bestFit="1" customWidth="1"/>
    <col min="2" max="2" width="20.42578125" style="15" bestFit="1" customWidth="1"/>
    <col min="3" max="4" width="13.7109375" style="15" bestFit="1" customWidth="1"/>
    <col min="5" max="5" width="11.85546875" style="15" bestFit="1" customWidth="1"/>
    <col min="6" max="6" width="10.28515625" style="15" bestFit="1" customWidth="1"/>
    <col min="7" max="7" width="12.85546875" style="15" bestFit="1" customWidth="1"/>
    <col min="8" max="8" width="11.85546875" style="15" bestFit="1" customWidth="1"/>
    <col min="9" max="9" width="23.5703125" style="15" bestFit="1" customWidth="1"/>
    <col min="10" max="10" width="17.5703125" style="15" bestFit="1" customWidth="1"/>
    <col min="11" max="11" width="35.140625" style="15" bestFit="1" customWidth="1"/>
    <col min="12" max="12" width="16.42578125" style="15" customWidth="1"/>
    <col min="13" max="13" width="17.85546875" style="15" customWidth="1"/>
    <col min="14" max="16384" width="9.140625" style="15"/>
  </cols>
  <sheetData>
    <row r="1" spans="1:14" ht="23.25" x14ac:dyDescent="0.25">
      <c r="A1" s="115" t="str">
        <f>LIFAFA2!A1</f>
        <v xml:space="preserve">राजकीय उच्च माध्यमिक विद्यालय ,मोराझड़ी (214242) श्रीनगर 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</row>
    <row r="2" spans="1:14" ht="19.5" x14ac:dyDescent="0.25">
      <c r="A2" s="116" t="s">
        <v>1389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41"/>
    </row>
    <row r="3" spans="1:14" s="39" customFormat="1" ht="38.25" customHeight="1" x14ac:dyDescent="0.25">
      <c r="A3" s="37" t="s">
        <v>1390</v>
      </c>
      <c r="B3" s="37" t="s">
        <v>1391</v>
      </c>
      <c r="C3" s="37" t="s">
        <v>1392</v>
      </c>
      <c r="D3" s="37" t="s">
        <v>1393</v>
      </c>
      <c r="E3" s="37" t="s">
        <v>1394</v>
      </c>
      <c r="F3" s="37" t="s">
        <v>1395</v>
      </c>
      <c r="G3" s="37" t="s">
        <v>1396</v>
      </c>
      <c r="H3" s="37" t="s">
        <v>1397</v>
      </c>
      <c r="I3" s="37" t="s">
        <v>1398</v>
      </c>
      <c r="J3" s="37" t="s">
        <v>1399</v>
      </c>
      <c r="K3" s="37" t="s">
        <v>1400</v>
      </c>
      <c r="L3" s="37" t="s">
        <v>1401</v>
      </c>
      <c r="M3" s="37" t="s">
        <v>1402</v>
      </c>
      <c r="N3" s="38"/>
    </row>
    <row r="4" spans="1:14" ht="36.75" customHeight="1" x14ac:dyDescent="0.25">
      <c r="A4" s="42">
        <v>1</v>
      </c>
      <c r="B4" s="42">
        <v>12040</v>
      </c>
      <c r="C4" s="42">
        <v>8210302201</v>
      </c>
      <c r="D4" s="42" t="s">
        <v>1403</v>
      </c>
      <c r="E4" s="42" t="s">
        <v>1404</v>
      </c>
      <c r="F4" s="42" t="s">
        <v>1405</v>
      </c>
      <c r="G4" s="42" t="s">
        <v>1406</v>
      </c>
      <c r="H4" s="42" t="s">
        <v>1403</v>
      </c>
      <c r="I4" s="42" t="s">
        <v>1407</v>
      </c>
      <c r="J4" s="42">
        <v>9799100840</v>
      </c>
      <c r="K4" s="42">
        <v>9799100840</v>
      </c>
      <c r="L4" s="43" t="s">
        <v>1408</v>
      </c>
      <c r="M4" s="43" t="s">
        <v>1409</v>
      </c>
    </row>
    <row r="5" spans="1:14" x14ac:dyDescent="0.25">
      <c r="A5" s="44"/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</row>
    <row r="6" spans="1:14" x14ac:dyDescent="0.25">
      <c r="A6" s="44"/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</row>
    <row r="7" spans="1:14" x14ac:dyDescent="0.25">
      <c r="A7" s="44"/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</row>
    <row r="8" spans="1:14" x14ac:dyDescent="0.25">
      <c r="A8" s="44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</row>
    <row r="9" spans="1:14" x14ac:dyDescent="0.25">
      <c r="A9" s="44"/>
      <c r="B9" s="44"/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</row>
    <row r="10" spans="1:14" x14ac:dyDescent="0.25">
      <c r="A10" s="44"/>
      <c r="B10" s="44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</row>
    <row r="11" spans="1:14" x14ac:dyDescent="0.25">
      <c r="A11" s="44"/>
      <c r="B11" s="44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</row>
    <row r="12" spans="1:14" x14ac:dyDescent="0.25">
      <c r="A12" s="44"/>
      <c r="B12" s="44"/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4"/>
    </row>
    <row r="13" spans="1:14" x14ac:dyDescent="0.25">
      <c r="A13" s="44"/>
      <c r="B13" s="44"/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</row>
    <row r="14" spans="1:14" x14ac:dyDescent="0.25">
      <c r="A14" s="44"/>
      <c r="B14" s="44"/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</row>
    <row r="15" spans="1:14" x14ac:dyDescent="0.25">
      <c r="A15" s="44"/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</row>
    <row r="16" spans="1:14" x14ac:dyDescent="0.25">
      <c r="A16" s="44"/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</row>
    <row r="17" spans="1:13" x14ac:dyDescent="0.25">
      <c r="A17" s="44"/>
      <c r="B17" s="44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</row>
    <row r="18" spans="1:13" x14ac:dyDescent="0.25">
      <c r="A18" s="44"/>
      <c r="B18" s="44"/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</row>
    <row r="19" spans="1:13" x14ac:dyDescent="0.25">
      <c r="A19" s="44"/>
      <c r="B19" s="44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</row>
    <row r="20" spans="1:13" x14ac:dyDescent="0.25">
      <c r="A20" s="44"/>
      <c r="B20" s="44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</row>
    <row r="21" spans="1:13" x14ac:dyDescent="0.25">
      <c r="A21" s="44"/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</row>
    <row r="22" spans="1:13" x14ac:dyDescent="0.25">
      <c r="A22" s="44"/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</row>
    <row r="23" spans="1:13" x14ac:dyDescent="0.25">
      <c r="A23" s="44"/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</row>
    <row r="24" spans="1:13" x14ac:dyDescent="0.25">
      <c r="A24" s="44"/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</row>
    <row r="25" spans="1:13" x14ac:dyDescent="0.25">
      <c r="A25" s="44"/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</row>
    <row r="26" spans="1:13" x14ac:dyDescent="0.25">
      <c r="A26" s="44"/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</row>
    <row r="27" spans="1:13" x14ac:dyDescent="0.25">
      <c r="A27" s="44"/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</row>
    <row r="28" spans="1:13" x14ac:dyDescent="0.25">
      <c r="A28" s="44"/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</row>
    <row r="29" spans="1:13" x14ac:dyDescent="0.25">
      <c r="A29" s="44"/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</row>
    <row r="30" spans="1:13" x14ac:dyDescent="0.25">
      <c r="A30" s="44"/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</row>
    <row r="31" spans="1:13" x14ac:dyDescent="0.25">
      <c r="A31" s="44"/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</row>
    <row r="32" spans="1:13" x14ac:dyDescent="0.25">
      <c r="A32" s="44"/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</row>
    <row r="33" spans="1:13" x14ac:dyDescent="0.25">
      <c r="A33" s="44"/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</row>
    <row r="34" spans="1:13" x14ac:dyDescent="0.25">
      <c r="A34" s="44"/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</row>
    <row r="35" spans="1:13" x14ac:dyDescent="0.25">
      <c r="A35" s="44"/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</row>
    <row r="36" spans="1:13" x14ac:dyDescent="0.25">
      <c r="A36" s="44"/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</row>
    <row r="37" spans="1:13" x14ac:dyDescent="0.25">
      <c r="A37" s="44"/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</row>
    <row r="38" spans="1:13" x14ac:dyDescent="0.25">
      <c r="A38" s="44"/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</row>
    <row r="39" spans="1:13" x14ac:dyDescent="0.25">
      <c r="A39" s="44"/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</row>
    <row r="40" spans="1:13" x14ac:dyDescent="0.25">
      <c r="A40" s="44"/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</row>
    <row r="41" spans="1:13" x14ac:dyDescent="0.25">
      <c r="A41" s="44"/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</row>
    <row r="42" spans="1:13" x14ac:dyDescent="0.25">
      <c r="A42" s="44"/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</row>
    <row r="43" spans="1:13" x14ac:dyDescent="0.25">
      <c r="A43" s="44"/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</row>
    <row r="44" spans="1:13" x14ac:dyDescent="0.25">
      <c r="A44" s="44"/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</row>
    <row r="45" spans="1:13" x14ac:dyDescent="0.25">
      <c r="A45" s="44"/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</row>
    <row r="46" spans="1:13" x14ac:dyDescent="0.25">
      <c r="A46" s="44"/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</row>
    <row r="47" spans="1:13" x14ac:dyDescent="0.25">
      <c r="A47" s="44"/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</row>
    <row r="48" spans="1:13" x14ac:dyDescent="0.25">
      <c r="A48" s="45"/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</row>
  </sheetData>
  <sheetProtection algorithmName="SHA-512" hashValue="fLALbtDtKqshg9Ee4iTjfCYZuJwrOkCkAAmsF7ahuAn37IBz92BSV/MfTBQruvsicH5dCLikMgrEUBtsw+gGyw==" saltValue="c2YuIHQC8wdbImSwKkXmsg==" spinCount="100000" sheet="1" objects="1" scenarios="1"/>
  <mergeCells count="2">
    <mergeCell ref="A1:M1"/>
    <mergeCell ref="A2:M2"/>
  </mergeCells>
  <conditionalFormatting sqref="A4:M47">
    <cfRule type="notContainsBlanks" dxfId="5" priority="1">
      <formula>LEN(TRIM(A4))&gt;0</formula>
    </cfRule>
  </conditionalFormatting>
  <hyperlinks>
    <hyperlink ref="L4" r:id="rId1" xr:uid="{B65D079E-5C7F-44E8-9A71-195CCBD3F005}"/>
    <hyperlink ref="M4" r:id="rId2" xr:uid="{3C62D472-985E-4F5D-807E-91828DC3340A}"/>
  </hyperlinks>
  <pageMargins left="0.25" right="0.25" top="0.75" bottom="0.75" header="0.3" footer="0.3"/>
  <pageSetup paperSize="9" scale="67" fitToHeight="0" orientation="landscape"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B883C5-89B9-4D86-967B-686DE7C3DF47}">
  <sheetPr codeName="Sheet9">
    <pageSetUpPr fitToPage="1"/>
  </sheetPr>
  <dimension ref="A1:BB247"/>
  <sheetViews>
    <sheetView showGridLines="0" showRowColHeaders="0" zoomScale="55" zoomScaleNormal="55" workbookViewId="0">
      <selection sqref="A1:AK1"/>
    </sheetView>
  </sheetViews>
  <sheetFormatPr defaultRowHeight="15" x14ac:dyDescent="0.25"/>
  <cols>
    <col min="1" max="1" width="37.140625" style="15" bestFit="1" customWidth="1"/>
    <col min="2" max="34" width="9.140625" style="15"/>
    <col min="35" max="35" width="9.28515625" style="15" bestFit="1" customWidth="1"/>
    <col min="36" max="36" width="9.28515625" style="15" customWidth="1"/>
    <col min="37" max="37" width="12.140625" style="15" bestFit="1" customWidth="1"/>
    <col min="38" max="52" width="9.140625" style="15"/>
    <col min="53" max="53" width="15.85546875" style="15" hidden="1" customWidth="1"/>
    <col min="54" max="54" width="17.28515625" style="15" hidden="1" customWidth="1"/>
    <col min="55" max="16384" width="9.140625" style="15"/>
  </cols>
  <sheetData>
    <row r="1" spans="1:54" ht="34.5" customHeight="1" x14ac:dyDescent="0.25">
      <c r="A1" s="119" t="str">
        <f>LIFAFA2!A1</f>
        <v xml:space="preserve">राजकीय उच्च माध्यमिक विद्यालय ,मोराझड़ी (214242) श्रीनगर 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  <c r="U1" s="119"/>
      <c r="V1" s="119"/>
      <c r="W1" s="119"/>
      <c r="X1" s="119"/>
      <c r="Y1" s="119"/>
      <c r="Z1" s="119"/>
      <c r="AA1" s="119"/>
      <c r="AB1" s="119"/>
      <c r="AC1" s="119"/>
      <c r="AD1" s="119"/>
      <c r="AE1" s="119"/>
      <c r="AF1" s="119"/>
      <c r="AG1" s="119"/>
      <c r="AH1" s="119"/>
      <c r="AI1" s="119"/>
      <c r="AJ1" s="119"/>
      <c r="AK1" s="119"/>
      <c r="BA1" s="15" t="s">
        <v>1427</v>
      </c>
      <c r="BB1" s="15" t="s">
        <v>1427</v>
      </c>
    </row>
    <row r="2" spans="1:54" ht="35.25" customHeight="1" x14ac:dyDescent="0.25">
      <c r="A2" s="118" t="s">
        <v>1388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20">
        <v>10</v>
      </c>
      <c r="S2" s="120"/>
      <c r="T2" s="120"/>
      <c r="U2" s="120"/>
      <c r="V2" s="120"/>
      <c r="W2" s="120"/>
      <c r="X2" s="120"/>
      <c r="Y2" s="120"/>
      <c r="Z2" s="120"/>
      <c r="AA2" s="120"/>
      <c r="AB2" s="120"/>
      <c r="AC2" s="120"/>
      <c r="AD2" s="120"/>
      <c r="AE2" s="120"/>
      <c r="AF2" s="120"/>
      <c r="AG2" s="120"/>
      <c r="AH2" s="120"/>
      <c r="AI2" s="120"/>
      <c r="AJ2" s="120"/>
      <c r="AK2" s="120"/>
      <c r="BA2" s="15" t="s">
        <v>1428</v>
      </c>
      <c r="BB2" s="15" t="s">
        <v>1428</v>
      </c>
    </row>
    <row r="3" spans="1:54" ht="39.75" customHeight="1" x14ac:dyDescent="0.25">
      <c r="A3" s="126" t="s">
        <v>1425</v>
      </c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127"/>
      <c r="T3" s="127"/>
      <c r="U3" s="127"/>
      <c r="V3" s="127"/>
      <c r="W3" s="127"/>
      <c r="X3" s="127"/>
      <c r="Y3" s="127"/>
      <c r="Z3" s="127"/>
      <c r="AA3" s="127"/>
      <c r="AB3" s="127"/>
      <c r="AC3" s="127"/>
      <c r="AD3" s="127"/>
      <c r="AE3" s="127"/>
      <c r="AF3" s="127"/>
      <c r="AG3" s="127"/>
      <c r="AH3" s="127"/>
      <c r="AI3" s="127"/>
      <c r="AJ3" s="127"/>
      <c r="AK3" s="128"/>
      <c r="BA3" s="15" t="s">
        <v>1430</v>
      </c>
      <c r="BB3" s="15" t="s">
        <v>1429</v>
      </c>
    </row>
    <row r="4" spans="1:54" ht="30" customHeight="1" x14ac:dyDescent="0.25">
      <c r="A4" s="117" t="s">
        <v>1426</v>
      </c>
      <c r="B4" s="105" t="s">
        <v>4</v>
      </c>
      <c r="C4" s="121"/>
      <c r="D4" s="121"/>
      <c r="E4" s="121"/>
      <c r="F4" s="122"/>
      <c r="G4" s="105" t="s">
        <v>5</v>
      </c>
      <c r="H4" s="121"/>
      <c r="I4" s="121"/>
      <c r="J4" s="121"/>
      <c r="K4" s="122"/>
      <c r="L4" s="105" t="s">
        <v>6</v>
      </c>
      <c r="M4" s="121"/>
      <c r="N4" s="121"/>
      <c r="O4" s="121"/>
      <c r="P4" s="122"/>
      <c r="Q4" s="105" t="s">
        <v>7</v>
      </c>
      <c r="R4" s="121"/>
      <c r="S4" s="121"/>
      <c r="T4" s="121"/>
      <c r="U4" s="122"/>
      <c r="V4" s="105" t="s">
        <v>8</v>
      </c>
      <c r="W4" s="121"/>
      <c r="X4" s="121"/>
      <c r="Y4" s="121"/>
      <c r="Z4" s="122"/>
      <c r="AA4" s="105" t="s">
        <v>9</v>
      </c>
      <c r="AB4" s="121"/>
      <c r="AC4" s="121"/>
      <c r="AD4" s="121"/>
      <c r="AE4" s="122"/>
      <c r="AF4" s="123" t="s">
        <v>3</v>
      </c>
      <c r="AG4" s="124"/>
      <c r="AH4" s="124"/>
      <c r="AI4" s="124"/>
      <c r="AJ4" s="124"/>
      <c r="AK4" s="125"/>
      <c r="BA4" s="15" t="s">
        <v>1432</v>
      </c>
      <c r="BB4" s="15" t="s">
        <v>1431</v>
      </c>
    </row>
    <row r="5" spans="1:54" s="65" customFormat="1" ht="44.25" customHeight="1" x14ac:dyDescent="0.25">
      <c r="A5" s="117"/>
      <c r="B5" s="62" t="s">
        <v>14</v>
      </c>
      <c r="C5" s="62" t="s">
        <v>15</v>
      </c>
      <c r="D5" s="62" t="s">
        <v>16</v>
      </c>
      <c r="E5" s="63" t="s">
        <v>3</v>
      </c>
      <c r="F5" s="64" t="s">
        <v>1380</v>
      </c>
      <c r="G5" s="62" t="s">
        <v>14</v>
      </c>
      <c r="H5" s="62" t="s">
        <v>15</v>
      </c>
      <c r="I5" s="62" t="s">
        <v>16</v>
      </c>
      <c r="J5" s="63" t="s">
        <v>3</v>
      </c>
      <c r="K5" s="64" t="s">
        <v>1380</v>
      </c>
      <c r="L5" s="62" t="s">
        <v>14</v>
      </c>
      <c r="M5" s="62" t="s">
        <v>15</v>
      </c>
      <c r="N5" s="62" t="s">
        <v>16</v>
      </c>
      <c r="O5" s="63" t="s">
        <v>3</v>
      </c>
      <c r="P5" s="64" t="s">
        <v>1380</v>
      </c>
      <c r="Q5" s="62" t="s">
        <v>14</v>
      </c>
      <c r="R5" s="62" t="s">
        <v>15</v>
      </c>
      <c r="S5" s="62" t="s">
        <v>16</v>
      </c>
      <c r="T5" s="63" t="s">
        <v>3</v>
      </c>
      <c r="U5" s="64" t="s">
        <v>1380</v>
      </c>
      <c r="V5" s="62" t="s">
        <v>14</v>
      </c>
      <c r="W5" s="62" t="s">
        <v>15</v>
      </c>
      <c r="X5" s="62" t="s">
        <v>16</v>
      </c>
      <c r="Y5" s="63" t="s">
        <v>3</v>
      </c>
      <c r="Z5" s="64" t="s">
        <v>1380</v>
      </c>
      <c r="AA5" s="62" t="s">
        <v>14</v>
      </c>
      <c r="AB5" s="62" t="s">
        <v>15</v>
      </c>
      <c r="AC5" s="62" t="s">
        <v>16</v>
      </c>
      <c r="AD5" s="63" t="s">
        <v>3</v>
      </c>
      <c r="AE5" s="64" t="s">
        <v>1380</v>
      </c>
      <c r="AF5" s="62" t="s">
        <v>14</v>
      </c>
      <c r="AG5" s="62" t="s">
        <v>15</v>
      </c>
      <c r="AH5" s="62" t="s">
        <v>16</v>
      </c>
      <c r="AI5" s="62" t="s">
        <v>1435</v>
      </c>
      <c r="AJ5" s="64" t="s">
        <v>1380</v>
      </c>
      <c r="AK5" s="64" t="s">
        <v>1379</v>
      </c>
      <c r="BA5" s="65" t="s">
        <v>1433</v>
      </c>
      <c r="BB5" s="65" t="s">
        <v>1375</v>
      </c>
    </row>
    <row r="6" spans="1:54" s="68" customFormat="1" ht="42.75" customHeight="1" x14ac:dyDescent="0.25">
      <c r="A6" s="130" t="str">
        <f>'लिफाफा प्रिन्ट'!N3</f>
        <v>हिन्दी</v>
      </c>
      <c r="B6" s="66">
        <f>COUNTIFS(STUDENTDATA!$A:$A, SUBJECTWISE9_10!$R$2, STUDENTDATA!$F:$F, "SC", STUDENTDATA!$I:$I, "I")</f>
        <v>0</v>
      </c>
      <c r="C6" s="66">
        <f>COUNTIFS(STUDENTDATA!$A:$A, SUBJECTWISE9_10!$R$2, STUDENTDATA!$F:$F, "SC", STUDENTDATA!$I:$I, "II")</f>
        <v>0</v>
      </c>
      <c r="D6" s="66">
        <f>COUNTIFS(STUDENTDATA!$A:$A, SUBJECTWISE9_10!$R$2, STUDENTDATA!$F:$F, "SC", STUDENTDATA!$I:$I, "III")</f>
        <v>0</v>
      </c>
      <c r="E6" s="66">
        <f>B6+C6+D6</f>
        <v>0</v>
      </c>
      <c r="F6" s="66">
        <f>COUNTIFS(STUDENTDATA!$A:$A, SUBJECTWISE9_10!$R$2, STUDENTDATA!$F:$F, "SC", STUDENTDATA!$I:$I, "अनुत्तीर्ण")</f>
        <v>0</v>
      </c>
      <c r="G6" s="66">
        <f>COUNTIFS(STUDENTDATA!$A:$A, SUBJECTWISE9_10!$R$2, STUDENTDATA!$F:$F, "ST", STUDENTDATA!$I:$I, "I")</f>
        <v>0</v>
      </c>
      <c r="H6" s="66">
        <f>COUNTIFS(STUDENTDATA!$A:$A, SUBJECTWISE9_10!$R$2, STUDENTDATA!$F:$F, "ST", STUDENTDATA!$I:$I, "II")</f>
        <v>0</v>
      </c>
      <c r="I6" s="66">
        <f>COUNTIFS(STUDENTDATA!$A:$A, SUBJECTWISE9_10!$R$2, STUDENTDATA!$F:$F, "ST", STUDENTDATA!$I:$I, "III")</f>
        <v>0</v>
      </c>
      <c r="J6" s="66">
        <f>G6+H6+I6</f>
        <v>0</v>
      </c>
      <c r="K6" s="66">
        <f>COUNTIFS(STUDENTDATA!$A:$A, SUBJECTWISE9_10!$R$2, STUDENTDATA!$F:$F, "ST", STUDENTDATA!$I:$I, "अनुत्तीर्ण")</f>
        <v>0</v>
      </c>
      <c r="L6" s="66">
        <f>COUNTIFS(STUDENTDATA!$A:$A, SUBJECTWISE9_10!$R$2, STUDENTDATA!$F:$F, "OBC", STUDENTDATA!$I:$I, "I")</f>
        <v>0</v>
      </c>
      <c r="M6" s="66">
        <f>COUNTIFS(STUDENTDATA!$A:$A, SUBJECTWISE9_10!$R$2, STUDENTDATA!$F:$F, "OBC", STUDENTDATA!$I:$I, "II")</f>
        <v>0</v>
      </c>
      <c r="N6" s="66">
        <f>COUNTIFS(STUDENTDATA!$A:$A, SUBJECTWISE9_10!$R$2, STUDENTDATA!$F:$F, "OBC", STUDENTDATA!$I:$I, "III")</f>
        <v>0</v>
      </c>
      <c r="O6" s="66">
        <f>L6+M6+N6</f>
        <v>0</v>
      </c>
      <c r="P6" s="66">
        <f>COUNTIFS(STUDENTDATA!$A:$A, SUBJECTWISE9_10!$R$2, STUDENTDATA!$F:$F, "OBC", STUDENTDATA!$I:$I, "अनुत्तीर्ण")</f>
        <v>0</v>
      </c>
      <c r="Q6" s="66">
        <f>COUNTIFS(STUDENTDATA!$A:$A, SUBJECTWISE9_10!$R$2, STUDENTDATA!$F:$F, "SBC", STUDENTDATA!$I:$I, "I")</f>
        <v>0</v>
      </c>
      <c r="R6" s="66">
        <f>COUNTIFS(STUDENTDATA!$A:$A, SUBJECTWISE9_10!$R$2, STUDENTDATA!$F:$F, "SBC", STUDENTDATA!$I:$I, "II")</f>
        <v>0</v>
      </c>
      <c r="S6" s="66">
        <f>COUNTIFS(STUDENTDATA!$A:$A, SUBJECTWISE9_10!$R$2, STUDENTDATA!$F:$F, "SBC", STUDENTDATA!$I:$I, "III")</f>
        <v>0</v>
      </c>
      <c r="T6" s="66">
        <f>Q6+R6+S6</f>
        <v>0</v>
      </c>
      <c r="U6" s="66">
        <f>COUNTIFS(STUDENTDATA!$A:$A, SUBJECTWISE9_10!$R$2, STUDENTDATA!$F:$F, "SBC", STUDENTDATA!$I:$I, "अनुत्तीर्ण")</f>
        <v>0</v>
      </c>
      <c r="V6" s="66">
        <f>COUNTIFS(STUDENTDATA!$A:$A, SUBJECTWISE9_10!$R$2, STUDENTDATA!$F:$F, "GEN", STUDENTDATA!$I:$I, "I")</f>
        <v>0</v>
      </c>
      <c r="W6" s="66">
        <f>COUNTIFS(STUDENTDATA!$A:$A, SUBJECTWISE9_10!$R$2, STUDENTDATA!$F:$F, "GEN", STUDENTDATA!$I:$I, "II")</f>
        <v>0</v>
      </c>
      <c r="X6" s="66">
        <f>COUNTIFS(STUDENTDATA!$A:$A, SUBJECTWISE9_10!$R$2, STUDENTDATA!$F:$F, "GEN", STUDENTDATA!$I:$I, "III")</f>
        <v>0</v>
      </c>
      <c r="Y6" s="66">
        <f>V6+W6+X6</f>
        <v>0</v>
      </c>
      <c r="Z6" s="66">
        <f>COUNTIFS(STUDENTDATA!$A:$A, SUBJECTWISE9_10!$R$2, STUDENTDATA!$F:$F, "GEN", STUDENTDATA!$I:$I, "अनुत्तीर्ण")</f>
        <v>0</v>
      </c>
      <c r="AA6" s="66">
        <f>COUNTIFS(STUDENTDATA!$A:$A, SUBJECTWISE9_10!$R$2, STUDENTDATA!$F:$F, "MIN", STUDENTDATA!$I:$I, "I")</f>
        <v>0</v>
      </c>
      <c r="AB6" s="66">
        <f>COUNTIFS(STUDENTDATA!$A:$A, SUBJECTWISE9_10!$R$2, STUDENTDATA!$F:$F, "MIN", STUDENTDATA!$I:$I, "II")</f>
        <v>0</v>
      </c>
      <c r="AC6" s="66">
        <f>COUNTIFS(STUDENTDATA!$A:$A, SUBJECTWISE9_10!$R$2, STUDENTDATA!$F:$F, "MIN", STUDENTDATA!$I:$I, "III")</f>
        <v>0</v>
      </c>
      <c r="AD6" s="66">
        <f>AA6+AB6+AC6</f>
        <v>0</v>
      </c>
      <c r="AE6" s="66">
        <f>COUNTIFS(STUDENTDATA!$A:$A, SUBJECTWISE9_10!$R$2, STUDENTDATA!$F:$F, "MIN", STUDENTDATA!$I:$I, "अनुत्तीर्ण")</f>
        <v>0</v>
      </c>
      <c r="AF6" s="67">
        <f>B6+G6+L6+Q6+V6+AA6</f>
        <v>0</v>
      </c>
      <c r="AG6" s="67">
        <f t="shared" ref="AG6:AH6" si="0">C6+H6+M6+R6+W6+AB6</f>
        <v>0</v>
      </c>
      <c r="AH6" s="67">
        <f t="shared" si="0"/>
        <v>0</v>
      </c>
      <c r="AI6" s="67">
        <f>AF6+AG6+AH6</f>
        <v>0</v>
      </c>
      <c r="AJ6" s="66">
        <f>COUNTIFS(STUDENTDATA!$A:$A, SUBJECTWISE9_10!$R$2, STUDENTDATA!$I:$I, "अनुत्तीर्ण")</f>
        <v>0</v>
      </c>
      <c r="AK6" s="66">
        <f>COUNTIFS(STUDENTDATA!$A:$A, SUBJECTWISE9_10!$R$2, STUDENTDATA!$I:$I, "अनुपस्थित")</f>
        <v>0</v>
      </c>
      <c r="BA6" s="68" t="s">
        <v>1434</v>
      </c>
    </row>
    <row r="7" spans="1:54" s="68" customFormat="1" ht="42.75" customHeight="1" x14ac:dyDescent="0.25">
      <c r="A7" s="130"/>
      <c r="B7" s="134" t="str">
        <f ca="1">IF(LIFAFA2!$E$6=0, "", TEXT(E6/LIFAFA2!$E$6, "0.00%"))</f>
        <v/>
      </c>
      <c r="C7" s="135"/>
      <c r="D7" s="135"/>
      <c r="E7" s="135"/>
      <c r="F7" s="136"/>
      <c r="G7" s="134" t="str">
        <f ca="1">IF(LIFAFA2!$H$6=0, "", TEXT(J6/LIFAFA2!$H$6, "0.00%"))</f>
        <v/>
      </c>
      <c r="H7" s="135"/>
      <c r="I7" s="135"/>
      <c r="J7" s="135"/>
      <c r="K7" s="136"/>
      <c r="L7" s="134" t="str">
        <f ca="1">IF(LIFAFA2!$K$6=0, "", TEXT(O6/LIFAFA2!$K$6, "0.00%"))</f>
        <v/>
      </c>
      <c r="M7" s="135"/>
      <c r="N7" s="135"/>
      <c r="O7" s="135"/>
      <c r="P7" s="136"/>
      <c r="Q7" s="134" t="str">
        <f ca="1">IF(LIFAFA2!$N$6=0, "", TEXT(T6/LIFAFA2!$N$6, "0.00%"))</f>
        <v/>
      </c>
      <c r="R7" s="135"/>
      <c r="S7" s="135"/>
      <c r="T7" s="135"/>
      <c r="U7" s="136"/>
      <c r="V7" s="134" t="str">
        <f ca="1">IF(LIFAFA2!$Q$6=0, "", TEXT(Y6/LIFAFA2!$Q$6, "0.00%"))</f>
        <v/>
      </c>
      <c r="W7" s="135"/>
      <c r="X7" s="135"/>
      <c r="Y7" s="135"/>
      <c r="Z7" s="136"/>
      <c r="AA7" s="134" t="str">
        <f ca="1">IF(LIFAFA2!$T$6=0, "", TEXT(AD6/LIFAFA2!$T$6, "0.00%"))</f>
        <v/>
      </c>
      <c r="AB7" s="135"/>
      <c r="AC7" s="135"/>
      <c r="AD7" s="135"/>
      <c r="AE7" s="136"/>
      <c r="AF7" s="131" t="str">
        <f ca="1">IF(LIFAFA2!$W$6=0, "", TEXT(AI6/LIFAFA2!$W$6, "0.00%"))</f>
        <v/>
      </c>
      <c r="AG7" s="132"/>
      <c r="AH7" s="132"/>
      <c r="AI7" s="132"/>
      <c r="AJ7" s="132"/>
      <c r="AK7" s="133"/>
    </row>
    <row r="8" spans="1:54" s="68" customFormat="1" ht="42.75" customHeight="1" x14ac:dyDescent="0.25">
      <c r="A8" s="129" t="str">
        <f>'लिफाफा प्रिन्ट'!N4</f>
        <v xml:space="preserve">अंग्रेजी </v>
      </c>
      <c r="B8" s="66">
        <f>COUNTIFS(STUDENTDATA!$A:$A, SUBJECTWISE9_10!$R$2, STUDENTDATA!$F:$F, "SC", STUDENTDATA!$J:$J, "I")</f>
        <v>0</v>
      </c>
      <c r="C8" s="66">
        <f>COUNTIFS(STUDENTDATA!$A:$A, SUBJECTWISE9_10!$R$2, STUDENTDATA!$F:$F, "SC", STUDENTDATA!$J:$J, "II")</f>
        <v>0</v>
      </c>
      <c r="D8" s="66">
        <f>COUNTIFS(STUDENTDATA!$A:$A, SUBJECTWISE9_10!$R$2, STUDENTDATA!$F:$F, "SC", STUDENTDATA!$J:$J, "III")</f>
        <v>0</v>
      </c>
      <c r="E8" s="66">
        <f>B8+C8+D8</f>
        <v>0</v>
      </c>
      <c r="F8" s="66">
        <f>COUNTIFS(STUDENTDATA!$A:$A, SUBJECTWISE9_10!$R$2, STUDENTDATA!$F:$F, "SC", STUDENTDATA!$J:$J, "अनुत्तीर्ण")</f>
        <v>0</v>
      </c>
      <c r="G8" s="66">
        <f>COUNTIFS(STUDENTDATA!$A:$A, SUBJECTWISE9_10!$R$2, STUDENTDATA!$F:$F, "ST", STUDENTDATA!$J:$J, "I")</f>
        <v>0</v>
      </c>
      <c r="H8" s="66">
        <f>COUNTIFS(STUDENTDATA!$A:$A, SUBJECTWISE9_10!$R$2, STUDENTDATA!$F:$F, "ST", STUDENTDATA!$J:$J, "II")</f>
        <v>0</v>
      </c>
      <c r="I8" s="66">
        <f>COUNTIFS(STUDENTDATA!$A:$A, SUBJECTWISE9_10!$R$2, STUDENTDATA!$F:$F, "ST", STUDENTDATA!$J:$J, "III")</f>
        <v>0</v>
      </c>
      <c r="J8" s="66">
        <f>G8+H8+I8</f>
        <v>0</v>
      </c>
      <c r="K8" s="66">
        <f>COUNTIFS(STUDENTDATA!$A:$A, SUBJECTWISE9_10!$R$2, STUDENTDATA!$F:$F, "ST", STUDENTDATA!$J:$J, "अनुत्तीर्ण")</f>
        <v>0</v>
      </c>
      <c r="L8" s="66">
        <f>COUNTIFS(STUDENTDATA!$A:$A, SUBJECTWISE9_10!$R$2, STUDENTDATA!$F:$F, "OBC", STUDENTDATA!$J:$J, "I")</f>
        <v>0</v>
      </c>
      <c r="M8" s="66">
        <f>COUNTIFS(STUDENTDATA!$A:$A, SUBJECTWISE9_10!$R$2, STUDENTDATA!$F:$F, "OBC", STUDENTDATA!$J:$J, "II")</f>
        <v>0</v>
      </c>
      <c r="N8" s="66">
        <f>COUNTIFS(STUDENTDATA!$A:$A, SUBJECTWISE9_10!$R$2, STUDENTDATA!$F:$F, "OBC", STUDENTDATA!$J:$J, "III")</f>
        <v>0</v>
      </c>
      <c r="O8" s="66">
        <f>L8+M8+N8</f>
        <v>0</v>
      </c>
      <c r="P8" s="66">
        <f>COUNTIFS(STUDENTDATA!$A:$A, SUBJECTWISE9_10!$R$2, STUDENTDATA!$F:$F, "OBC", STUDENTDATA!$J:$J, "अनुत्तीर्ण")</f>
        <v>0</v>
      </c>
      <c r="Q8" s="66">
        <f>COUNTIFS(STUDENTDATA!$A:$A, SUBJECTWISE9_10!$R$2, STUDENTDATA!$F:$F, "SBC", STUDENTDATA!$J:$J, "I")</f>
        <v>0</v>
      </c>
      <c r="R8" s="66">
        <f>COUNTIFS(STUDENTDATA!$A:$A, SUBJECTWISE9_10!$R$2, STUDENTDATA!$F:$F, "SBC", STUDENTDATA!$J:$J, "II")</f>
        <v>0</v>
      </c>
      <c r="S8" s="66">
        <f>COUNTIFS(STUDENTDATA!$A:$A, SUBJECTWISE9_10!$R$2, STUDENTDATA!$F:$F, "SBC", STUDENTDATA!$J:$J, "III")</f>
        <v>0</v>
      </c>
      <c r="T8" s="66">
        <f>Q8+R8+S8</f>
        <v>0</v>
      </c>
      <c r="U8" s="66">
        <f>COUNTIFS(STUDENTDATA!$A:$A, SUBJECTWISE9_10!$R$2, STUDENTDATA!$F:$F, "SBC", STUDENTDATA!$J:$J, "अनुत्तीर्ण")</f>
        <v>0</v>
      </c>
      <c r="V8" s="66">
        <f>COUNTIFS(STUDENTDATA!$A:$A, SUBJECTWISE9_10!$R$2, STUDENTDATA!$F:$F, "GEN", STUDENTDATA!$J:$J, "I")</f>
        <v>0</v>
      </c>
      <c r="W8" s="66">
        <f>COUNTIFS(STUDENTDATA!$A:$A, SUBJECTWISE9_10!$R$2, STUDENTDATA!$F:$F, "GEN", STUDENTDATA!$J:$J, "II")</f>
        <v>0</v>
      </c>
      <c r="X8" s="66">
        <f>COUNTIFS(STUDENTDATA!$A:$A, SUBJECTWISE9_10!$R$2, STUDENTDATA!$F:$F, "GEN", STUDENTDATA!$J:$J, "III")</f>
        <v>0</v>
      </c>
      <c r="Y8" s="66">
        <f>V8+W8+X8</f>
        <v>0</v>
      </c>
      <c r="Z8" s="66">
        <f>COUNTIFS(STUDENTDATA!$A:$A, SUBJECTWISE9_10!$R$2, STUDENTDATA!$F:$F, "GEN", STUDENTDATA!$J:$J, "अनुत्तीर्ण")</f>
        <v>0</v>
      </c>
      <c r="AA8" s="66">
        <f>COUNTIFS(STUDENTDATA!$A:$A, SUBJECTWISE9_10!$R$2, STUDENTDATA!$F:$F, "MIN", STUDENTDATA!$J:$J, "I")</f>
        <v>0</v>
      </c>
      <c r="AB8" s="66">
        <f>COUNTIFS(STUDENTDATA!$A:$A, SUBJECTWISE9_10!$R$2, STUDENTDATA!$F:$F, "MIN", STUDENTDATA!$J:$J, "II")</f>
        <v>0</v>
      </c>
      <c r="AC8" s="66">
        <f>COUNTIFS(STUDENTDATA!$A:$A, SUBJECTWISE9_10!$R$2, STUDENTDATA!$F:$F, "MIN", STUDENTDATA!$J:$J, "III")</f>
        <v>0</v>
      </c>
      <c r="AD8" s="66">
        <f>AA8+AB8+AC8</f>
        <v>0</v>
      </c>
      <c r="AE8" s="66">
        <f>COUNTIFS(STUDENTDATA!$A:$A, SUBJECTWISE9_10!$R$2, STUDENTDATA!$F:$F, "MIN", STUDENTDATA!$J:$J, "अनुत्तीर्ण")</f>
        <v>0</v>
      </c>
      <c r="AF8" s="67">
        <f>B8+G8+L8+Q8+V8+AA8</f>
        <v>0</v>
      </c>
      <c r="AG8" s="67">
        <f t="shared" ref="AG8" si="1">C8+H8+M8+R8+W8+AB8</f>
        <v>0</v>
      </c>
      <c r="AH8" s="67">
        <f t="shared" ref="AH8" si="2">D8+I8+N8+S8+X8+AC8</f>
        <v>0</v>
      </c>
      <c r="AI8" s="67">
        <f>AF8+AG8+AH8</f>
        <v>0</v>
      </c>
      <c r="AJ8" s="66">
        <f>COUNTIFS(STUDENTDATA!$A:$A, SUBJECTWISE9_10!$R$2, STUDENTDATA!$J:$J, "अनुत्तीर्ण")</f>
        <v>0</v>
      </c>
      <c r="AK8" s="66">
        <f>COUNTIFS(STUDENTDATA!$A:$A, SUBJECTWISE9_10!$R$2, STUDENTDATA!$J:$J, "अनुपस्थित")</f>
        <v>0</v>
      </c>
    </row>
    <row r="9" spans="1:54" s="68" customFormat="1" ht="42.75" customHeight="1" x14ac:dyDescent="0.25">
      <c r="A9" s="129"/>
      <c r="B9" s="134" t="str">
        <f ca="1">IF(LIFAFA2!$E$6=0, "", TEXT(E8/LIFAFA2!$E$6, "0.00%"))</f>
        <v/>
      </c>
      <c r="C9" s="135"/>
      <c r="D9" s="135"/>
      <c r="E9" s="135"/>
      <c r="F9" s="136"/>
      <c r="G9" s="134" t="str">
        <f ca="1">IF(LIFAFA2!$H$6=0, "", TEXT(J8/LIFAFA2!$H$6, "0.00%"))</f>
        <v/>
      </c>
      <c r="H9" s="135"/>
      <c r="I9" s="135"/>
      <c r="J9" s="135"/>
      <c r="K9" s="136"/>
      <c r="L9" s="134" t="str">
        <f ca="1">IF(LIFAFA2!$K$6=0, "", TEXT(O8/LIFAFA2!$K$6, "0.00%"))</f>
        <v/>
      </c>
      <c r="M9" s="135"/>
      <c r="N9" s="135"/>
      <c r="O9" s="135"/>
      <c r="P9" s="136"/>
      <c r="Q9" s="134" t="str">
        <f ca="1">IF(LIFAFA2!$N$6=0, "", TEXT(T8/LIFAFA2!$N$6, "0.00%"))</f>
        <v/>
      </c>
      <c r="R9" s="135"/>
      <c r="S9" s="135"/>
      <c r="T9" s="135"/>
      <c r="U9" s="136"/>
      <c r="V9" s="134" t="str">
        <f ca="1">IF(LIFAFA2!$Q$6=0, "", TEXT(Y8/LIFAFA2!$Q$6, "0.00%"))</f>
        <v/>
      </c>
      <c r="W9" s="135"/>
      <c r="X9" s="135"/>
      <c r="Y9" s="135"/>
      <c r="Z9" s="136"/>
      <c r="AA9" s="134" t="str">
        <f ca="1">IF(LIFAFA2!$T$6=0, "", TEXT(AD8/LIFAFA2!$T$6, "0.00%"))</f>
        <v/>
      </c>
      <c r="AB9" s="135"/>
      <c r="AC9" s="135"/>
      <c r="AD9" s="135"/>
      <c r="AE9" s="136"/>
      <c r="AF9" s="131" t="str">
        <f ca="1">IF(LIFAFA2!$W$6=0, "", TEXT(AI8/LIFAFA2!$W$6, "0.00%"))</f>
        <v/>
      </c>
      <c r="AG9" s="132"/>
      <c r="AH9" s="132"/>
      <c r="AI9" s="132"/>
      <c r="AJ9" s="132"/>
      <c r="AK9" s="133"/>
    </row>
    <row r="10" spans="1:54" s="68" customFormat="1" ht="42.75" customHeight="1" x14ac:dyDescent="0.25">
      <c r="A10" s="129" t="str">
        <f>'लिफाफा प्रिन्ट'!N5</f>
        <v>गणित</v>
      </c>
      <c r="B10" s="66">
        <f>COUNTIFS(STUDENTDATA!$A:$A, SUBJECTWISE9_10!$R$2, STUDENTDATA!$F:$F, "SC", STUDENTDATA!$K:$K, "I")</f>
        <v>0</v>
      </c>
      <c r="C10" s="66">
        <f>COUNTIFS(STUDENTDATA!$A:$A, SUBJECTWISE9_10!$R$2, STUDENTDATA!$F:$F, "SC", STUDENTDATA!$K:$K, "II")</f>
        <v>0</v>
      </c>
      <c r="D10" s="66">
        <f>COUNTIFS(STUDENTDATA!$A:$A, SUBJECTWISE9_10!$R$2, STUDENTDATA!$F:$F, "SC", STUDENTDATA!$K:$K, "III")</f>
        <v>0</v>
      </c>
      <c r="E10" s="66">
        <f>B10+C10+D10</f>
        <v>0</v>
      </c>
      <c r="F10" s="66">
        <f>COUNTIFS(STUDENTDATA!$A:$A, SUBJECTWISE9_10!$R$2, STUDENTDATA!$F:$F, "SC", STUDENTDATA!$K:$K, "अनुत्तीर्ण")</f>
        <v>0</v>
      </c>
      <c r="G10" s="66">
        <f>COUNTIFS(STUDENTDATA!$A:$A, SUBJECTWISE9_10!$R$2, STUDENTDATA!$F:$F, "ST", STUDENTDATA!$K:$K, "I")</f>
        <v>0</v>
      </c>
      <c r="H10" s="66">
        <f>COUNTIFS(STUDENTDATA!$A:$A, SUBJECTWISE9_10!$R$2, STUDENTDATA!$F:$F, "ST", STUDENTDATA!$K:$K, "II")</f>
        <v>0</v>
      </c>
      <c r="I10" s="66">
        <f>COUNTIFS(STUDENTDATA!$A:$A, SUBJECTWISE9_10!$R$2, STUDENTDATA!$F:$F, "ST", STUDENTDATA!$K:$K, "III")</f>
        <v>0</v>
      </c>
      <c r="J10" s="66">
        <f>G10+H10+I10</f>
        <v>0</v>
      </c>
      <c r="K10" s="66">
        <f>COUNTIFS(STUDENTDATA!$A:$A, SUBJECTWISE9_10!$R$2, STUDENTDATA!$F:$F, "ST", STUDENTDATA!$K:$K, "अनुत्तीर्ण")</f>
        <v>0</v>
      </c>
      <c r="L10" s="66">
        <f>COUNTIFS(STUDENTDATA!$A:$A, SUBJECTWISE9_10!$R$2, STUDENTDATA!$F:$F, "OBC", STUDENTDATA!$K:$K, "I")</f>
        <v>0</v>
      </c>
      <c r="M10" s="66">
        <f>COUNTIFS(STUDENTDATA!$A:$A, SUBJECTWISE9_10!$R$2, STUDENTDATA!$F:$F, "OBC", STUDENTDATA!$K:$K, "II")</f>
        <v>0</v>
      </c>
      <c r="N10" s="66">
        <f>COUNTIFS(STUDENTDATA!$A:$A, SUBJECTWISE9_10!$R$2, STUDENTDATA!$F:$F, "OBC", STUDENTDATA!$K:$K, "III")</f>
        <v>0</v>
      </c>
      <c r="O10" s="66">
        <f>L10+M10+N10</f>
        <v>0</v>
      </c>
      <c r="P10" s="66">
        <f>COUNTIFS(STUDENTDATA!$A:$A, SUBJECTWISE9_10!$R$2, STUDENTDATA!$F:$F, "OBC", STUDENTDATA!$K:$K, "अनुत्तीर्ण")</f>
        <v>0</v>
      </c>
      <c r="Q10" s="66">
        <f>COUNTIFS(STUDENTDATA!$A:$A, SUBJECTWISE9_10!$R$2, STUDENTDATA!$F:$F, "SBC", STUDENTDATA!$K:$K, "I")</f>
        <v>0</v>
      </c>
      <c r="R10" s="66">
        <f>COUNTIFS(STUDENTDATA!$A:$A, SUBJECTWISE9_10!$R$2, STUDENTDATA!$F:$F, "SBC", STUDENTDATA!$K:$K, "II")</f>
        <v>0</v>
      </c>
      <c r="S10" s="66">
        <f>COUNTIFS(STUDENTDATA!$A:$A, SUBJECTWISE9_10!$R$2, STUDENTDATA!$F:$F, "SBC", STUDENTDATA!$K:$K, "III")</f>
        <v>0</v>
      </c>
      <c r="T10" s="66">
        <f>Q10+R10+S10</f>
        <v>0</v>
      </c>
      <c r="U10" s="66">
        <f>COUNTIFS(STUDENTDATA!$A:$A, SUBJECTWISE9_10!$R$2, STUDENTDATA!$F:$F, "SBC", STUDENTDATA!$K:$K, "अनुत्तीर्ण")</f>
        <v>0</v>
      </c>
      <c r="V10" s="66">
        <f>COUNTIFS(STUDENTDATA!$A:$A, SUBJECTWISE9_10!$R$2, STUDENTDATA!$F:$F, "GEN", STUDENTDATA!$K:$K, "I")</f>
        <v>0</v>
      </c>
      <c r="W10" s="66">
        <f>COUNTIFS(STUDENTDATA!$A:$A, SUBJECTWISE9_10!$R$2, STUDENTDATA!$F:$F, "GEN", STUDENTDATA!$K:$K, "II")</f>
        <v>0</v>
      </c>
      <c r="X10" s="66">
        <f>COUNTIFS(STUDENTDATA!$A:$A, SUBJECTWISE9_10!$R$2, STUDENTDATA!$F:$F, "GEN", STUDENTDATA!$K:$K, "III")</f>
        <v>0</v>
      </c>
      <c r="Y10" s="66">
        <f>V10+W10+X10</f>
        <v>0</v>
      </c>
      <c r="Z10" s="66">
        <f>COUNTIFS(STUDENTDATA!$A:$A, SUBJECTWISE9_10!$R$2, STUDENTDATA!$F:$F, "GEN", STUDENTDATA!$K:$K, "अनुत्तीर्ण")</f>
        <v>0</v>
      </c>
      <c r="AA10" s="66">
        <f>COUNTIFS(STUDENTDATA!$A:$A, SUBJECTWISE9_10!$R$2, STUDENTDATA!$F:$F, "MIN", STUDENTDATA!$K:$K, "I")</f>
        <v>0</v>
      </c>
      <c r="AB10" s="66">
        <f>COUNTIFS(STUDENTDATA!$A:$A, SUBJECTWISE9_10!$R$2, STUDENTDATA!$F:$F, "MIN", STUDENTDATA!$K:$K, "II")</f>
        <v>0</v>
      </c>
      <c r="AC10" s="66">
        <f>COUNTIFS(STUDENTDATA!$A:$A, SUBJECTWISE9_10!$R$2, STUDENTDATA!$F:$F, "MIN", STUDENTDATA!$K:$K, "III")</f>
        <v>0</v>
      </c>
      <c r="AD10" s="66">
        <f>AA10+AB10+AC10</f>
        <v>0</v>
      </c>
      <c r="AE10" s="66">
        <f>COUNTIFS(STUDENTDATA!$A:$A, SUBJECTWISE9_10!$R$2, STUDENTDATA!$F:$F, "MIN", STUDENTDATA!$K:$K, "अनुत्तीर्ण")</f>
        <v>0</v>
      </c>
      <c r="AF10" s="67">
        <f>B10+G10+L10+Q10+V10+AA10</f>
        <v>0</v>
      </c>
      <c r="AG10" s="67">
        <f t="shared" ref="AG10" si="3">C10+H10+M10+R10+W10+AB10</f>
        <v>0</v>
      </c>
      <c r="AH10" s="67">
        <f t="shared" ref="AH10" si="4">D10+I10+N10+S10+X10+AC10</f>
        <v>0</v>
      </c>
      <c r="AI10" s="67">
        <f>AF10+AG10+AH10</f>
        <v>0</v>
      </c>
      <c r="AJ10" s="66">
        <f>COUNTIFS(STUDENTDATA!$A:$A, SUBJECTWISE9_10!$R$2, STUDENTDATA!$K:$K, "अनुत्तीर्ण")</f>
        <v>0</v>
      </c>
      <c r="AK10" s="66">
        <f>COUNTIFS(STUDENTDATA!$A:$A, SUBJECTWISE9_10!$R$2, STUDENTDATA!$K:$K, "अनुपस्थित")</f>
        <v>0</v>
      </c>
    </row>
    <row r="11" spans="1:54" s="68" customFormat="1" ht="42.75" customHeight="1" x14ac:dyDescent="0.25">
      <c r="A11" s="129"/>
      <c r="B11" s="134" t="str">
        <f ca="1">IF(LIFAFA2!$E$6=0, "", TEXT(E10/LIFAFA2!$E$6, "0.00%"))</f>
        <v/>
      </c>
      <c r="C11" s="135"/>
      <c r="D11" s="135"/>
      <c r="E11" s="135"/>
      <c r="F11" s="136"/>
      <c r="G11" s="134" t="str">
        <f ca="1">IF(LIFAFA2!$H$6=0, "", TEXT(J10/LIFAFA2!$H$6, "0.00%"))</f>
        <v/>
      </c>
      <c r="H11" s="135"/>
      <c r="I11" s="135"/>
      <c r="J11" s="135"/>
      <c r="K11" s="136"/>
      <c r="L11" s="134" t="str">
        <f ca="1">IF(LIFAFA2!$K$6=0, "", TEXT(O10/LIFAFA2!$K$6, "0.00%"))</f>
        <v/>
      </c>
      <c r="M11" s="135"/>
      <c r="N11" s="135"/>
      <c r="O11" s="135"/>
      <c r="P11" s="136"/>
      <c r="Q11" s="134" t="str">
        <f ca="1">IF(LIFAFA2!$N$6=0, "", TEXT(T10/LIFAFA2!$N$6, "0.00%"))</f>
        <v/>
      </c>
      <c r="R11" s="135"/>
      <c r="S11" s="135"/>
      <c r="T11" s="135"/>
      <c r="U11" s="136"/>
      <c r="V11" s="134" t="str">
        <f ca="1">IF(LIFAFA2!$Q$6=0, "", TEXT(Y10/LIFAFA2!$Q$6, "0.00%"))</f>
        <v/>
      </c>
      <c r="W11" s="135"/>
      <c r="X11" s="135"/>
      <c r="Y11" s="135"/>
      <c r="Z11" s="136"/>
      <c r="AA11" s="134" t="str">
        <f ca="1">IF(LIFAFA2!$T$6=0, "", TEXT(AD10/LIFAFA2!$T$6, "0.00%"))</f>
        <v/>
      </c>
      <c r="AB11" s="135"/>
      <c r="AC11" s="135"/>
      <c r="AD11" s="135"/>
      <c r="AE11" s="136"/>
      <c r="AF11" s="131" t="str">
        <f ca="1">IF(LIFAFA2!$W$6=0, "", TEXT(AI10/LIFAFA2!$W$6, "0.00%"))</f>
        <v/>
      </c>
      <c r="AG11" s="132"/>
      <c r="AH11" s="132"/>
      <c r="AI11" s="132"/>
      <c r="AJ11" s="132"/>
      <c r="AK11" s="133"/>
      <c r="AL11" s="69"/>
    </row>
    <row r="12" spans="1:54" s="68" customFormat="1" ht="42.75" customHeight="1" x14ac:dyDescent="0.25">
      <c r="A12" s="129" t="str">
        <f>'लिफाफा प्रिन्ट'!N6</f>
        <v xml:space="preserve">विज्ञान </v>
      </c>
      <c r="B12" s="66">
        <f>COUNTIFS(STUDENTDATA!$A:$A, SUBJECTWISE9_10!$R$2, STUDENTDATA!$F:$F, "SC", STUDENTDATA!$L:$L, "I")</f>
        <v>0</v>
      </c>
      <c r="C12" s="66">
        <f>COUNTIFS(STUDENTDATA!$A:$A, SUBJECTWISE9_10!$R$2, STUDENTDATA!$F:$F, "SC", STUDENTDATA!$L:$L, "II")</f>
        <v>0</v>
      </c>
      <c r="D12" s="66">
        <f>COUNTIFS(STUDENTDATA!$A:$A, SUBJECTWISE9_10!$R$2, STUDENTDATA!$F:$F, "SC", STUDENTDATA!$L:$L, "III")</f>
        <v>0</v>
      </c>
      <c r="E12" s="66">
        <f>B12+C12+D12</f>
        <v>0</v>
      </c>
      <c r="F12" s="66">
        <f>COUNTIFS(STUDENTDATA!$A:$A, SUBJECTWISE9_10!$R$2, STUDENTDATA!$F:$F, "SC", STUDENTDATA!$L:$L, "अनुत्तीर्ण")</f>
        <v>0</v>
      </c>
      <c r="G12" s="66">
        <f>COUNTIFS(STUDENTDATA!$A:$A, SUBJECTWISE9_10!$R$2, STUDENTDATA!$F:$F, "ST", STUDENTDATA!$L:$L, "I")</f>
        <v>0</v>
      </c>
      <c r="H12" s="66">
        <f>COUNTIFS(STUDENTDATA!$A:$A, SUBJECTWISE9_10!$R$2, STUDENTDATA!$F:$F, "ST", STUDENTDATA!$L:$L, "II")</f>
        <v>0</v>
      </c>
      <c r="I12" s="66">
        <f>COUNTIFS(STUDENTDATA!$A:$A, SUBJECTWISE9_10!$R$2, STUDENTDATA!$F:$F, "ST", STUDENTDATA!$L:$L, "III")</f>
        <v>0</v>
      </c>
      <c r="J12" s="66">
        <f>G12+H12+I12</f>
        <v>0</v>
      </c>
      <c r="K12" s="66">
        <f>COUNTIFS(STUDENTDATA!$A:$A, SUBJECTWISE9_10!$R$2, STUDENTDATA!$F:$F, "ST", STUDENTDATA!$L:$L, "अनुत्तीर्ण")</f>
        <v>0</v>
      </c>
      <c r="L12" s="66">
        <f>COUNTIFS(STUDENTDATA!$A:$A, SUBJECTWISE9_10!$R$2, STUDENTDATA!$F:$F, "OBC", STUDENTDATA!$L:$L, "I")</f>
        <v>0</v>
      </c>
      <c r="M12" s="66">
        <f>COUNTIFS(STUDENTDATA!$A:$A, SUBJECTWISE9_10!$R$2, STUDENTDATA!$F:$F, "OBC", STUDENTDATA!$L:$L, "II")</f>
        <v>0</v>
      </c>
      <c r="N12" s="66">
        <f>COUNTIFS(STUDENTDATA!$A:$A, SUBJECTWISE9_10!$R$2, STUDENTDATA!$F:$F, "OBC", STUDENTDATA!$L:$L, "III")</f>
        <v>0</v>
      </c>
      <c r="O12" s="66">
        <f>L12+M12+N12</f>
        <v>0</v>
      </c>
      <c r="P12" s="66">
        <f>COUNTIFS(STUDENTDATA!$A:$A, SUBJECTWISE9_10!$R$2, STUDENTDATA!$F:$F, "OBC", STUDENTDATA!$L:$L, "अनुत्तीर्ण")</f>
        <v>0</v>
      </c>
      <c r="Q12" s="66">
        <f>COUNTIFS(STUDENTDATA!$A:$A, SUBJECTWISE9_10!$R$2, STUDENTDATA!$F:$F, "SBC", STUDENTDATA!$L:$L, "I")</f>
        <v>0</v>
      </c>
      <c r="R12" s="66">
        <f>COUNTIFS(STUDENTDATA!$A:$A, SUBJECTWISE9_10!$R$2, STUDENTDATA!$F:$F, "SBC", STUDENTDATA!$L:$L, "II")</f>
        <v>0</v>
      </c>
      <c r="S12" s="66">
        <f>COUNTIFS(STUDENTDATA!$A:$A, SUBJECTWISE9_10!$R$2, STUDENTDATA!$F:$F, "SBC", STUDENTDATA!$L:$L, "III")</f>
        <v>0</v>
      </c>
      <c r="T12" s="66">
        <f>Q12+R12+S12</f>
        <v>0</v>
      </c>
      <c r="U12" s="66">
        <f>COUNTIFS(STUDENTDATA!$A:$A, SUBJECTWISE9_10!$R$2, STUDENTDATA!$F:$F, "SBC", STUDENTDATA!$L:$L, "अनुत्तीर्ण")</f>
        <v>0</v>
      </c>
      <c r="V12" s="66">
        <f>COUNTIFS(STUDENTDATA!$A:$A, SUBJECTWISE9_10!$R$2, STUDENTDATA!$F:$F, "GEN", STUDENTDATA!$L:$L, "I")</f>
        <v>0</v>
      </c>
      <c r="W12" s="66">
        <f>COUNTIFS(STUDENTDATA!$A:$A, SUBJECTWISE9_10!$R$2, STUDENTDATA!$F:$F, "GEN", STUDENTDATA!$L:$L, "II")</f>
        <v>0</v>
      </c>
      <c r="X12" s="66">
        <f>COUNTIFS(STUDENTDATA!$A:$A, SUBJECTWISE9_10!$R$2, STUDENTDATA!$F:$F, "GEN", STUDENTDATA!$L:$L, "III")</f>
        <v>0</v>
      </c>
      <c r="Y12" s="66">
        <f>V12+W12+X12</f>
        <v>0</v>
      </c>
      <c r="Z12" s="66">
        <f>COUNTIFS(STUDENTDATA!$A:$A, SUBJECTWISE9_10!$R$2, STUDENTDATA!$F:$F, "GEN", STUDENTDATA!$L:$L, "अनुत्तीर्ण")</f>
        <v>0</v>
      </c>
      <c r="AA12" s="66">
        <f>COUNTIFS(STUDENTDATA!$A:$A, SUBJECTWISE9_10!$R$2, STUDENTDATA!$F:$F, "MIN", STUDENTDATA!$L:$L, "I")</f>
        <v>0</v>
      </c>
      <c r="AB12" s="66">
        <f>COUNTIFS(STUDENTDATA!$A:$A, SUBJECTWISE9_10!$R$2, STUDENTDATA!$F:$F, "MIN", STUDENTDATA!$L:$L, "II")</f>
        <v>0</v>
      </c>
      <c r="AC12" s="66">
        <f>COUNTIFS(STUDENTDATA!$A:$A, SUBJECTWISE9_10!$R$2, STUDENTDATA!$F:$F, "MIN", STUDENTDATA!$L:$L, "III")</f>
        <v>0</v>
      </c>
      <c r="AD12" s="66">
        <f>AA12+AB12+AC12</f>
        <v>0</v>
      </c>
      <c r="AE12" s="66">
        <f>COUNTIFS(STUDENTDATA!$A:$A, SUBJECTWISE9_10!$R$2, STUDENTDATA!$F:$F, "MIN", STUDENTDATA!$L:$L, "अनुत्तीर्ण")</f>
        <v>0</v>
      </c>
      <c r="AF12" s="67">
        <f>B12+G12+L12+Q12+V12+AA12</f>
        <v>0</v>
      </c>
      <c r="AG12" s="67">
        <f t="shared" ref="AG12" si="5">C12+H12+M12+R12+W12+AB12</f>
        <v>0</v>
      </c>
      <c r="AH12" s="67">
        <f t="shared" ref="AH12" si="6">D12+I12+N12+S12+X12+AC12</f>
        <v>0</v>
      </c>
      <c r="AI12" s="67">
        <f>AF12+AG12+AH12</f>
        <v>0</v>
      </c>
      <c r="AJ12" s="66">
        <f>COUNTIFS(STUDENTDATA!$A:$A, SUBJECTWISE9_10!$R$2, STUDENTDATA!$L:$L, "अनुत्तीर्ण")</f>
        <v>0</v>
      </c>
      <c r="AK12" s="66">
        <f>COUNTIFS(STUDENTDATA!$A:$A, SUBJECTWISE9_10!$R$2, STUDENTDATA!$L:$L, "अनुपस्थित")</f>
        <v>0</v>
      </c>
    </row>
    <row r="13" spans="1:54" s="68" customFormat="1" ht="42.75" customHeight="1" x14ac:dyDescent="0.25">
      <c r="A13" s="129"/>
      <c r="B13" s="134" t="str">
        <f ca="1">IF(LIFAFA2!$E$6=0, "", TEXT(E12/LIFAFA2!$E$6, "0.00%"))</f>
        <v/>
      </c>
      <c r="C13" s="135"/>
      <c r="D13" s="135"/>
      <c r="E13" s="135"/>
      <c r="F13" s="136"/>
      <c r="G13" s="134" t="str">
        <f ca="1">IF(LIFAFA2!$H$6=0, "", TEXT(J12/LIFAFA2!$H$6, "0.00%"))</f>
        <v/>
      </c>
      <c r="H13" s="135"/>
      <c r="I13" s="135"/>
      <c r="J13" s="135"/>
      <c r="K13" s="136"/>
      <c r="L13" s="134" t="str">
        <f ca="1">IF(LIFAFA2!$K$6=0, "", TEXT(O12/LIFAFA2!$K$6, "0.00%"))</f>
        <v/>
      </c>
      <c r="M13" s="135"/>
      <c r="N13" s="135"/>
      <c r="O13" s="135"/>
      <c r="P13" s="136"/>
      <c r="Q13" s="134" t="str">
        <f ca="1">IF(LIFAFA2!$N$6=0, "", TEXT(T12/LIFAFA2!$N$6, "0.00%"))</f>
        <v/>
      </c>
      <c r="R13" s="135"/>
      <c r="S13" s="135"/>
      <c r="T13" s="135"/>
      <c r="U13" s="136"/>
      <c r="V13" s="134" t="str">
        <f ca="1">IF(LIFAFA2!$Q$6=0, "", TEXT(Y12/LIFAFA2!$Q$6, "0.00%"))</f>
        <v/>
      </c>
      <c r="W13" s="135"/>
      <c r="X13" s="135"/>
      <c r="Y13" s="135"/>
      <c r="Z13" s="136"/>
      <c r="AA13" s="134" t="str">
        <f ca="1">IF(LIFAFA2!$T$6=0, "", TEXT(AD12/LIFAFA2!$T$6, "0.00%"))</f>
        <v/>
      </c>
      <c r="AB13" s="135"/>
      <c r="AC13" s="135"/>
      <c r="AD13" s="135"/>
      <c r="AE13" s="136"/>
      <c r="AF13" s="131" t="str">
        <f ca="1">IF(LIFAFA2!$W$6=0, "", TEXT(AI12/LIFAFA2!$W$6, "0.00%"))</f>
        <v/>
      </c>
      <c r="AG13" s="132"/>
      <c r="AH13" s="132"/>
      <c r="AI13" s="132"/>
      <c r="AJ13" s="132"/>
      <c r="AK13" s="133"/>
    </row>
    <row r="14" spans="1:54" s="68" customFormat="1" ht="42.75" customHeight="1" x14ac:dyDescent="0.25">
      <c r="A14" s="129" t="str">
        <f>'लिफाफा प्रिन्ट'!N7</f>
        <v xml:space="preserve">संस्कृत </v>
      </c>
      <c r="B14" s="66">
        <f>COUNTIFS(STUDENTDATA!$A:$A, SUBJECTWISE9_10!$R$2, STUDENTDATA!$F:$F, "SC", STUDENTDATA!$M:$M, "I")</f>
        <v>0</v>
      </c>
      <c r="C14" s="66">
        <f>COUNTIFS(STUDENTDATA!$A:$A, SUBJECTWISE9_10!$R$2, STUDENTDATA!$F:$F, "SC", STUDENTDATA!$M:$M, "II")</f>
        <v>0</v>
      </c>
      <c r="D14" s="66">
        <f>COUNTIFS(STUDENTDATA!$A:$A, SUBJECTWISE9_10!$R$2, STUDENTDATA!$F:$F, "SC", STUDENTDATA!$M:$M, "III")</f>
        <v>0</v>
      </c>
      <c r="E14" s="66">
        <f>B14+C14+D14</f>
        <v>0</v>
      </c>
      <c r="F14" s="66">
        <f>COUNTIFS(STUDENTDATA!$A:$A, SUBJECTWISE9_10!$R$2, STUDENTDATA!$F:$F, "SC", STUDENTDATA!$M:$M, "अनुत्तीर्ण")</f>
        <v>0</v>
      </c>
      <c r="G14" s="66">
        <f>COUNTIFS(STUDENTDATA!$A:$A, SUBJECTWISE9_10!$R$2, STUDENTDATA!$F:$F, "ST", STUDENTDATA!$M:$M, "I")</f>
        <v>0</v>
      </c>
      <c r="H14" s="66">
        <f>COUNTIFS(STUDENTDATA!$A:$A, SUBJECTWISE9_10!$R$2, STUDENTDATA!$F:$F, "ST", STUDENTDATA!$M:$M, "II")</f>
        <v>0</v>
      </c>
      <c r="I14" s="66">
        <f>COUNTIFS(STUDENTDATA!$A:$A, SUBJECTWISE9_10!$R$2, STUDENTDATA!$F:$F, "ST", STUDENTDATA!$M:$M, "III")</f>
        <v>0</v>
      </c>
      <c r="J14" s="66">
        <f>G14+H14+I14</f>
        <v>0</v>
      </c>
      <c r="K14" s="66">
        <f>COUNTIFS(STUDENTDATA!$A:$A, SUBJECTWISE9_10!$R$2, STUDENTDATA!$F:$F, "ST", STUDENTDATA!$M:$M, "अनुत्तीर्ण")</f>
        <v>0</v>
      </c>
      <c r="L14" s="66">
        <f>COUNTIFS(STUDENTDATA!$A:$A, SUBJECTWISE9_10!$R$2, STUDENTDATA!$F:$F, "OBC", STUDENTDATA!$M:$M, "I")</f>
        <v>0</v>
      </c>
      <c r="M14" s="66">
        <f>COUNTIFS(STUDENTDATA!$A:$A, SUBJECTWISE9_10!$R$2, STUDENTDATA!$F:$F, "OBC", STUDENTDATA!$M:$M, "II")</f>
        <v>0</v>
      </c>
      <c r="N14" s="66">
        <f>COUNTIFS(STUDENTDATA!$A:$A, SUBJECTWISE9_10!$R$2, STUDENTDATA!$F:$F, "OBC", STUDENTDATA!$M:$M, "III")</f>
        <v>0</v>
      </c>
      <c r="O14" s="66">
        <f>L14+M14+N14</f>
        <v>0</v>
      </c>
      <c r="P14" s="66">
        <f>COUNTIFS(STUDENTDATA!$A:$A, SUBJECTWISE9_10!$R$2, STUDENTDATA!$F:$F, "OBC", STUDENTDATA!$M:$M, "अनुत्तीर्ण")</f>
        <v>0</v>
      </c>
      <c r="Q14" s="66">
        <f>COUNTIFS(STUDENTDATA!$A:$A, SUBJECTWISE9_10!$R$2, STUDENTDATA!$F:$F, "SBC", STUDENTDATA!$M:$M, "I")</f>
        <v>0</v>
      </c>
      <c r="R14" s="66">
        <f>COUNTIFS(STUDENTDATA!$A:$A, SUBJECTWISE9_10!$R$2, STUDENTDATA!$F:$F, "SBC", STUDENTDATA!$M:$M, "II")</f>
        <v>0</v>
      </c>
      <c r="S14" s="66">
        <f>COUNTIFS(STUDENTDATA!$A:$A, SUBJECTWISE9_10!$R$2, STUDENTDATA!$F:$F, "SBC", STUDENTDATA!$M:$M, "III")</f>
        <v>0</v>
      </c>
      <c r="T14" s="66">
        <f>Q14+R14+S14</f>
        <v>0</v>
      </c>
      <c r="U14" s="66">
        <f>COUNTIFS(STUDENTDATA!$A:$A, SUBJECTWISE9_10!$R$2, STUDENTDATA!$F:$F, "SBC", STUDENTDATA!$M:$M, "अनुत्तीर्ण")</f>
        <v>0</v>
      </c>
      <c r="V14" s="66">
        <f>COUNTIFS(STUDENTDATA!$A:$A, SUBJECTWISE9_10!$R$2, STUDENTDATA!$F:$F, "GEN", STUDENTDATA!$M:$M, "I")</f>
        <v>0</v>
      </c>
      <c r="W14" s="66">
        <f>COUNTIFS(STUDENTDATA!$A:$A, SUBJECTWISE9_10!$R$2, STUDENTDATA!$F:$F, "GEN", STUDENTDATA!$M:$M, "II")</f>
        <v>0</v>
      </c>
      <c r="X14" s="66">
        <f>COUNTIFS(STUDENTDATA!$A:$A, SUBJECTWISE9_10!$R$2, STUDENTDATA!$F:$F, "GEN", STUDENTDATA!$M:$M, "III")</f>
        <v>0</v>
      </c>
      <c r="Y14" s="66">
        <f>V14+W14+X14</f>
        <v>0</v>
      </c>
      <c r="Z14" s="66">
        <f>COUNTIFS(STUDENTDATA!$A:$A, SUBJECTWISE9_10!$R$2, STUDENTDATA!$F:$F, "GEN", STUDENTDATA!$M:$M, "अनुत्तीर्ण")</f>
        <v>0</v>
      </c>
      <c r="AA14" s="66">
        <f>COUNTIFS(STUDENTDATA!$A:$A, SUBJECTWISE9_10!$R$2, STUDENTDATA!$F:$F, "MIN", STUDENTDATA!$M:$M, "I")</f>
        <v>0</v>
      </c>
      <c r="AB14" s="66">
        <f>COUNTIFS(STUDENTDATA!$A:$A, SUBJECTWISE9_10!$R$2, STUDENTDATA!$F:$F, "MIN", STUDENTDATA!$M:$M, "II")</f>
        <v>0</v>
      </c>
      <c r="AC14" s="66">
        <f>COUNTIFS(STUDENTDATA!$A:$A, SUBJECTWISE9_10!$R$2, STUDENTDATA!$F:$F, "MIN", STUDENTDATA!$M:$M, "III")</f>
        <v>0</v>
      </c>
      <c r="AD14" s="66">
        <f>AA14+AB14+AC14</f>
        <v>0</v>
      </c>
      <c r="AE14" s="66">
        <f>COUNTIFS(STUDENTDATA!$A:$A, SUBJECTWISE9_10!$R$2, STUDENTDATA!$F:$F, "MIN", STUDENTDATA!$M:$M, "अनुत्तीर्ण")</f>
        <v>0</v>
      </c>
      <c r="AF14" s="67">
        <f>B14+G14+L14+Q14+V14+AA14</f>
        <v>0</v>
      </c>
      <c r="AG14" s="67">
        <f t="shared" ref="AG14" si="7">C14+H14+M14+R14+W14+AB14</f>
        <v>0</v>
      </c>
      <c r="AH14" s="67">
        <f t="shared" ref="AH14" si="8">D14+I14+N14+S14+X14+AC14</f>
        <v>0</v>
      </c>
      <c r="AI14" s="67">
        <f>AF14+AG14+AH14</f>
        <v>0</v>
      </c>
      <c r="AJ14" s="66">
        <f>COUNTIFS(STUDENTDATA!$A:$A, SUBJECTWISE9_10!$R$2, STUDENTDATA!$M:$M, "अनुत्तीर्ण")</f>
        <v>0</v>
      </c>
      <c r="AK14" s="66">
        <f>COUNTIFS(STUDENTDATA!$A:$A, SUBJECTWISE9_10!$R$2, STUDENTDATA!$M:$M, "अनुपस्थित")</f>
        <v>0</v>
      </c>
    </row>
    <row r="15" spans="1:54" s="68" customFormat="1" ht="42.75" customHeight="1" x14ac:dyDescent="0.25">
      <c r="A15" s="129"/>
      <c r="B15" s="134" t="str">
        <f ca="1">IF(LIFAFA2!$E$6=0, "", TEXT(E14/LIFAFA2!$E$6, "0.00%"))</f>
        <v/>
      </c>
      <c r="C15" s="135"/>
      <c r="D15" s="135"/>
      <c r="E15" s="135"/>
      <c r="F15" s="136"/>
      <c r="G15" s="134" t="str">
        <f ca="1">IF(LIFAFA2!$H$6=0, "", TEXT(J14/LIFAFA2!$H$6, "0.00%"))</f>
        <v/>
      </c>
      <c r="H15" s="135"/>
      <c r="I15" s="135"/>
      <c r="J15" s="135"/>
      <c r="K15" s="136"/>
      <c r="L15" s="134" t="str">
        <f ca="1">IF(LIFAFA2!$K$6=0, "", TEXT(O14/LIFAFA2!$K$6, "0.00%"))</f>
        <v/>
      </c>
      <c r="M15" s="135"/>
      <c r="N15" s="135"/>
      <c r="O15" s="135"/>
      <c r="P15" s="136"/>
      <c r="Q15" s="134" t="str">
        <f ca="1">IF(LIFAFA2!$N$6=0, "", TEXT(T14/LIFAFA2!$N$6, "0.00%"))</f>
        <v/>
      </c>
      <c r="R15" s="135"/>
      <c r="S15" s="135"/>
      <c r="T15" s="135"/>
      <c r="U15" s="136"/>
      <c r="V15" s="134" t="str">
        <f ca="1">IF(LIFAFA2!$Q$6=0, "", TEXT(Y14/LIFAFA2!$Q$6, "0.00%"))</f>
        <v/>
      </c>
      <c r="W15" s="135"/>
      <c r="X15" s="135"/>
      <c r="Y15" s="135"/>
      <c r="Z15" s="136"/>
      <c r="AA15" s="134" t="str">
        <f ca="1">IF(LIFAFA2!$T$6=0, "", TEXT(AD14/LIFAFA2!$T$6, "0.00%"))</f>
        <v/>
      </c>
      <c r="AB15" s="135"/>
      <c r="AC15" s="135"/>
      <c r="AD15" s="135"/>
      <c r="AE15" s="136"/>
      <c r="AF15" s="131" t="str">
        <f ca="1">IF(LIFAFA2!$W$6=0, "", TEXT(AI14/LIFAFA2!$W$6, "0.00%"))</f>
        <v/>
      </c>
      <c r="AG15" s="132"/>
      <c r="AH15" s="132"/>
      <c r="AI15" s="132"/>
      <c r="AJ15" s="132"/>
      <c r="AK15" s="133"/>
    </row>
    <row r="16" spans="1:54" s="68" customFormat="1" ht="42.75" customHeight="1" x14ac:dyDescent="0.25">
      <c r="A16" s="129" t="str">
        <f>'लिफाफा प्रिन्ट'!N8</f>
        <v>सामाजिक विज्ञान</v>
      </c>
      <c r="B16" s="66">
        <f>COUNTIFS(STUDENTDATA!$A:$A, SUBJECTWISE9_10!$R$2, STUDENTDATA!$F:$F, "SC", STUDENTDATA!$N:$N, "I")</f>
        <v>0</v>
      </c>
      <c r="C16" s="66">
        <f>COUNTIFS(STUDENTDATA!$A:$A, SUBJECTWISE9_10!$R$2, STUDENTDATA!$F:$F, "SC", STUDENTDATA!$N:$N, "II")</f>
        <v>0</v>
      </c>
      <c r="D16" s="66">
        <f>COUNTIFS(STUDENTDATA!$A:$A, SUBJECTWISE9_10!$R$2, STUDENTDATA!$F:$F, "SC", STUDENTDATA!$N:$N, "III")</f>
        <v>0</v>
      </c>
      <c r="E16" s="66">
        <f>B16+C16+D16</f>
        <v>0</v>
      </c>
      <c r="F16" s="66">
        <f>COUNTIFS(STUDENTDATA!$A:$A, SUBJECTWISE9_10!$R$2, STUDENTDATA!$F:$F, "SC", STUDENTDATA!$N:$N, "अनुत्तीर्ण")</f>
        <v>0</v>
      </c>
      <c r="G16" s="66">
        <f>COUNTIFS(STUDENTDATA!$A:$A, SUBJECTWISE9_10!$R$2, STUDENTDATA!$F:$F, "ST", STUDENTDATA!$N:$N, "I")</f>
        <v>0</v>
      </c>
      <c r="H16" s="66">
        <f>COUNTIFS(STUDENTDATA!$A:$A, SUBJECTWISE9_10!$R$2, STUDENTDATA!$F:$F, "ST", STUDENTDATA!$N:$N, "II")</f>
        <v>0</v>
      </c>
      <c r="I16" s="66">
        <f>COUNTIFS(STUDENTDATA!$A:$A, SUBJECTWISE9_10!$R$2, STUDENTDATA!$F:$F, "ST", STUDENTDATA!$N:$N, "III")</f>
        <v>0</v>
      </c>
      <c r="J16" s="66">
        <f>G16+H16+I16</f>
        <v>0</v>
      </c>
      <c r="K16" s="66">
        <f>COUNTIFS(STUDENTDATA!$A:$A, SUBJECTWISE9_10!$R$2, STUDENTDATA!$F:$F, "ST", STUDENTDATA!$N:$N, "अनुत्तीर्ण")</f>
        <v>0</v>
      </c>
      <c r="L16" s="66">
        <f>COUNTIFS(STUDENTDATA!$A:$A, SUBJECTWISE9_10!$R$2, STUDENTDATA!$F:$F, "OBC", STUDENTDATA!$N:$N, "I")</f>
        <v>0</v>
      </c>
      <c r="M16" s="66">
        <f>COUNTIFS(STUDENTDATA!$A:$A, SUBJECTWISE9_10!$R$2, STUDENTDATA!$F:$F, "OBC", STUDENTDATA!$N:$N, "II")</f>
        <v>0</v>
      </c>
      <c r="N16" s="66">
        <f>COUNTIFS(STUDENTDATA!$A:$A, SUBJECTWISE9_10!$R$2, STUDENTDATA!$F:$F, "OBC", STUDENTDATA!$N:$N, "III")</f>
        <v>0</v>
      </c>
      <c r="O16" s="66">
        <f>L16+M16+N16</f>
        <v>0</v>
      </c>
      <c r="P16" s="66">
        <f>COUNTIFS(STUDENTDATA!$A:$A, SUBJECTWISE9_10!$R$2, STUDENTDATA!$F:$F, "OBC", STUDENTDATA!$N:$N, "अनुत्तीर्ण")</f>
        <v>0</v>
      </c>
      <c r="Q16" s="66">
        <f>COUNTIFS(STUDENTDATA!$A:$A, SUBJECTWISE9_10!$R$2, STUDENTDATA!$F:$F, "SBC", STUDENTDATA!$N:$N, "I")</f>
        <v>0</v>
      </c>
      <c r="R16" s="66">
        <f>COUNTIFS(STUDENTDATA!$A:$A, SUBJECTWISE9_10!$R$2, STUDENTDATA!$F:$F, "SBC", STUDENTDATA!$N:$N, "II")</f>
        <v>0</v>
      </c>
      <c r="S16" s="66">
        <f>COUNTIFS(STUDENTDATA!$A:$A, SUBJECTWISE9_10!$R$2, STUDENTDATA!$F:$F, "SBC", STUDENTDATA!$N:$N, "III")</f>
        <v>0</v>
      </c>
      <c r="T16" s="66">
        <f>Q16+R16+S16</f>
        <v>0</v>
      </c>
      <c r="U16" s="66">
        <f>COUNTIFS(STUDENTDATA!$A:$A, SUBJECTWISE9_10!$R$2, STUDENTDATA!$F:$F, "SBC", STUDENTDATA!$N:$N, "अनुत्तीर्ण")</f>
        <v>0</v>
      </c>
      <c r="V16" s="66">
        <f>COUNTIFS(STUDENTDATA!$A:$A, SUBJECTWISE9_10!$R$2, STUDENTDATA!$F:$F, "GEN", STUDENTDATA!$N:$N, "I")</f>
        <v>0</v>
      </c>
      <c r="W16" s="66">
        <f>COUNTIFS(STUDENTDATA!$A:$A, SUBJECTWISE9_10!$R$2, STUDENTDATA!$F:$F, "GEN", STUDENTDATA!$N:$N, "II")</f>
        <v>0</v>
      </c>
      <c r="X16" s="66">
        <f>COUNTIFS(STUDENTDATA!$A:$A, SUBJECTWISE9_10!$R$2, STUDENTDATA!$F:$F, "GEN", STUDENTDATA!$N:$N, "III")</f>
        <v>0</v>
      </c>
      <c r="Y16" s="66">
        <f>V16+W16+X16</f>
        <v>0</v>
      </c>
      <c r="Z16" s="66">
        <f>COUNTIFS(STUDENTDATA!$A:$A, SUBJECTWISE9_10!$R$2, STUDENTDATA!$F:$F, "GEN", STUDENTDATA!$N:$N, "अनुत्तीर्ण")</f>
        <v>0</v>
      </c>
      <c r="AA16" s="66">
        <f>COUNTIFS(STUDENTDATA!$A:$A, SUBJECTWISE9_10!$R$2, STUDENTDATA!$F:$F, "MIN", STUDENTDATA!$N:$N, "I")</f>
        <v>0</v>
      </c>
      <c r="AB16" s="66">
        <f>COUNTIFS(STUDENTDATA!$A:$A, SUBJECTWISE9_10!$R$2, STUDENTDATA!$F:$F, "MIN", STUDENTDATA!$N:$N, "II")</f>
        <v>0</v>
      </c>
      <c r="AC16" s="66">
        <f>COUNTIFS(STUDENTDATA!$A:$A, SUBJECTWISE9_10!$R$2, STUDENTDATA!$F:$F, "MIN", STUDENTDATA!$N:$N, "III")</f>
        <v>0</v>
      </c>
      <c r="AD16" s="66">
        <f>AA16+AB16+AC16</f>
        <v>0</v>
      </c>
      <c r="AE16" s="66">
        <f>COUNTIFS(STUDENTDATA!$A:$A, SUBJECTWISE9_10!$R$2, STUDENTDATA!$F:$F, "MIN", STUDENTDATA!$N:$N, "अनुत्तीर्ण")</f>
        <v>0</v>
      </c>
      <c r="AF16" s="67">
        <f>B16+G16+L16+Q16+V16+AA16</f>
        <v>0</v>
      </c>
      <c r="AG16" s="67">
        <f t="shared" ref="AG16" si="9">C16+H16+M16+R16+W16+AB16</f>
        <v>0</v>
      </c>
      <c r="AH16" s="67">
        <f t="shared" ref="AH16" si="10">D16+I16+N16+S16+X16+AC16</f>
        <v>0</v>
      </c>
      <c r="AI16" s="67">
        <f>AF16+AG16+AH16</f>
        <v>0</v>
      </c>
      <c r="AJ16" s="66">
        <f>COUNTIFS(STUDENTDATA!$A:$A, SUBJECTWISE9_10!$R$2, STUDENTDATA!$N:$N, "अनुत्तीर्ण")</f>
        <v>0</v>
      </c>
      <c r="AK16" s="66">
        <f>COUNTIFS(STUDENTDATA!$A:$A, SUBJECTWISE9_10!$R$2, STUDENTDATA!$N:$N, "अनुपस्थित")</f>
        <v>0</v>
      </c>
    </row>
    <row r="17" spans="1:37" s="68" customFormat="1" ht="42.75" customHeight="1" x14ac:dyDescent="0.25">
      <c r="A17" s="129"/>
      <c r="B17" s="134" t="str">
        <f ca="1">IF(LIFAFA2!$E$6=0, "", TEXT(E16/LIFAFA2!$E$6, "0.00%"))</f>
        <v/>
      </c>
      <c r="C17" s="135"/>
      <c r="D17" s="135"/>
      <c r="E17" s="135"/>
      <c r="F17" s="136"/>
      <c r="G17" s="134" t="str">
        <f ca="1">IF(LIFAFA2!$H$6=0, "", TEXT(J16/LIFAFA2!$H$6, "0.00%"))</f>
        <v/>
      </c>
      <c r="H17" s="135"/>
      <c r="I17" s="135"/>
      <c r="J17" s="135"/>
      <c r="K17" s="136"/>
      <c r="L17" s="134" t="str">
        <f ca="1">IF(LIFAFA2!$K$6=0, "", TEXT(O16/LIFAFA2!$K$6, "0.00%"))</f>
        <v/>
      </c>
      <c r="M17" s="135"/>
      <c r="N17" s="135"/>
      <c r="O17" s="135"/>
      <c r="P17" s="136"/>
      <c r="Q17" s="134" t="str">
        <f ca="1">IF(LIFAFA2!$N$6=0, "", TEXT(T16/LIFAFA2!$N$6, "0.00%"))</f>
        <v/>
      </c>
      <c r="R17" s="135"/>
      <c r="S17" s="135"/>
      <c r="T17" s="135"/>
      <c r="U17" s="136"/>
      <c r="V17" s="134" t="str">
        <f ca="1">IF(LIFAFA2!$Q$6=0, "", TEXT(Y16/LIFAFA2!$Q$6, "0.00%"))</f>
        <v/>
      </c>
      <c r="W17" s="135"/>
      <c r="X17" s="135"/>
      <c r="Y17" s="135"/>
      <c r="Z17" s="136"/>
      <c r="AA17" s="134" t="str">
        <f ca="1">IF(LIFAFA2!$T$6=0, "", TEXT(AD16/LIFAFA2!$T$6, "0.00%"))</f>
        <v/>
      </c>
      <c r="AB17" s="135"/>
      <c r="AC17" s="135"/>
      <c r="AD17" s="135"/>
      <c r="AE17" s="136"/>
      <c r="AF17" s="131" t="str">
        <f ca="1">IF(LIFAFA2!$W$6=0, "", TEXT(AI16/LIFAFA2!$W$6, "0.00%"))</f>
        <v/>
      </c>
      <c r="AG17" s="132"/>
      <c r="AH17" s="132"/>
      <c r="AI17" s="132"/>
      <c r="AJ17" s="132"/>
      <c r="AK17" s="133"/>
    </row>
    <row r="18" spans="1:37" ht="34.5" customHeight="1" x14ac:dyDescent="0.25">
      <c r="A18" s="76" t="str" cm="1">
        <f t="array" ref="A18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9" spans="1:37" ht="34.5" customHeight="1" x14ac:dyDescent="0.25">
      <c r="A19" s="76" t="str" cm="1">
        <f t="array" ref="A19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20" spans="1:37" ht="21" x14ac:dyDescent="0.25">
      <c r="A20" s="76" t="str" cm="1">
        <f t="array" ref="A20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21" spans="1:37" ht="21" x14ac:dyDescent="0.25">
      <c r="A21" s="76" t="str" cm="1">
        <f t="array" ref="A21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22" spans="1:37" ht="21" x14ac:dyDescent="0.25">
      <c r="A22" s="76" t="str" cm="1">
        <f t="array" ref="A22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23" spans="1:37" ht="21" x14ac:dyDescent="0.25">
      <c r="A23" s="76" t="str" cm="1">
        <f t="array" ref="A23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24" spans="1:37" ht="21" x14ac:dyDescent="0.25">
      <c r="A24" s="76" t="str" cm="1">
        <f t="array" ref="A24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25" spans="1:37" ht="21" x14ac:dyDescent="0.25">
      <c r="A25" s="76" t="str" cm="1">
        <f t="array" ref="A25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26" spans="1:37" ht="21" x14ac:dyDescent="0.25">
      <c r="A26" s="76" t="str" cm="1">
        <f t="array" ref="A26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27" spans="1:37" ht="21" x14ac:dyDescent="0.25">
      <c r="A27" s="76" t="str" cm="1">
        <f t="array" ref="A27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28" spans="1:37" ht="21" x14ac:dyDescent="0.25">
      <c r="A28" s="76" t="str" cm="1">
        <f t="array" ref="A28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29" spans="1:37" ht="21" x14ac:dyDescent="0.25">
      <c r="A29" s="76" t="str" cm="1">
        <f t="array" ref="A29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30" spans="1:37" ht="21" x14ac:dyDescent="0.25">
      <c r="A30" s="76" t="str" cm="1">
        <f t="array" ref="A30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31" spans="1:37" ht="21" x14ac:dyDescent="0.25">
      <c r="A31" s="76" t="str" cm="1">
        <f t="array" ref="A31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32" spans="1:37" ht="21" x14ac:dyDescent="0.25">
      <c r="A32" s="76" t="str" cm="1">
        <f t="array" ref="A32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33" spans="1:1" ht="21" x14ac:dyDescent="0.25">
      <c r="A33" s="76" t="str" cm="1">
        <f t="array" ref="A33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34" spans="1:1" ht="21" x14ac:dyDescent="0.25">
      <c r="A34" s="76" t="str" cm="1">
        <f t="array" ref="A34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35" spans="1:1" ht="21" x14ac:dyDescent="0.25">
      <c r="A35" s="76" t="str" cm="1">
        <f t="array" ref="A35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36" spans="1:1" ht="21" x14ac:dyDescent="0.25">
      <c r="A36" s="76" t="str" cm="1">
        <f t="array" ref="A36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37" spans="1:1" ht="21" x14ac:dyDescent="0.25">
      <c r="A37" s="76" t="str" cm="1">
        <f t="array" ref="A37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38" spans="1:1" ht="21" x14ac:dyDescent="0.25">
      <c r="A38" s="76" t="str" cm="1">
        <f t="array" ref="A38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39" spans="1:1" ht="21" x14ac:dyDescent="0.25">
      <c r="A39" s="76" t="str" cm="1">
        <f t="array" ref="A39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40" spans="1:1" ht="21" x14ac:dyDescent="0.25">
      <c r="A40" s="76" t="str" cm="1">
        <f t="array" ref="A40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41" spans="1:1" ht="21" x14ac:dyDescent="0.25">
      <c r="A41" s="76" t="str" cm="1">
        <f t="array" ref="A41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42" spans="1:1" ht="21" x14ac:dyDescent="0.25">
      <c r="A42" s="76" t="str" cm="1">
        <f t="array" ref="A42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43" spans="1:1" ht="21" x14ac:dyDescent="0.25">
      <c r="A43" s="76" t="str" cm="1">
        <f t="array" ref="A43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44" spans="1:1" ht="21" x14ac:dyDescent="0.25">
      <c r="A44" s="76" t="str" cm="1">
        <f t="array" ref="A44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45" spans="1:1" ht="21" x14ac:dyDescent="0.25">
      <c r="A45" s="76" t="str" cm="1">
        <f t="array" ref="A45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46" spans="1:1" ht="21" x14ac:dyDescent="0.25">
      <c r="A46" s="76" t="str" cm="1">
        <f t="array" ref="A46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47" spans="1:1" ht="21" x14ac:dyDescent="0.25">
      <c r="A47" s="76" t="str" cm="1">
        <f t="array" ref="A47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48" spans="1:1" ht="21" x14ac:dyDescent="0.25">
      <c r="A48" s="76" t="str" cm="1">
        <f t="array" ref="A48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49" spans="1:1" ht="21" x14ac:dyDescent="0.25">
      <c r="A49" s="76" t="str" cm="1">
        <f t="array" ref="A49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50" spans="1:1" ht="21" x14ac:dyDescent="0.25">
      <c r="A50" s="76" t="str" cm="1">
        <f t="array" ref="A50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51" spans="1:1" ht="21" x14ac:dyDescent="0.25">
      <c r="A51" s="76" t="str" cm="1">
        <f t="array" ref="A51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52" spans="1:1" ht="21" x14ac:dyDescent="0.25">
      <c r="A52" s="76" t="str" cm="1">
        <f t="array" ref="A52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53" spans="1:1" ht="21" x14ac:dyDescent="0.25">
      <c r="A53" s="76" t="str" cm="1">
        <f t="array" ref="A53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54" spans="1:1" ht="21" x14ac:dyDescent="0.25">
      <c r="A54" s="76" t="str" cm="1">
        <f t="array" ref="A54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55" spans="1:1" ht="21" x14ac:dyDescent="0.25">
      <c r="A55" s="76" t="str" cm="1">
        <f t="array" ref="A55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56" spans="1:1" ht="21" x14ac:dyDescent="0.25">
      <c r="A56" s="76" t="str" cm="1">
        <f t="array" ref="A56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57" spans="1:1" ht="21" x14ac:dyDescent="0.25">
      <c r="A57" s="76" t="str" cm="1">
        <f t="array" ref="A57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58" spans="1:1" ht="18.75" x14ac:dyDescent="0.25">
      <c r="A58" s="61" t="str" cm="1">
        <f t="array" ref="A58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59" spans="1:1" ht="18.75" x14ac:dyDescent="0.25">
      <c r="A59" s="61" t="str" cm="1">
        <f t="array" ref="A59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60" spans="1:1" ht="18.75" x14ac:dyDescent="0.25">
      <c r="A60" s="61" t="str" cm="1">
        <f t="array" ref="A60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61" spans="1:1" ht="18.75" x14ac:dyDescent="0.25">
      <c r="A61" s="61" t="str" cm="1">
        <f t="array" ref="A61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62" spans="1:1" ht="18.75" x14ac:dyDescent="0.25">
      <c r="A62" s="61" t="str" cm="1">
        <f t="array" ref="A62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63" spans="1:1" ht="18.75" x14ac:dyDescent="0.25">
      <c r="A63" s="61" t="str" cm="1">
        <f t="array" ref="A63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64" spans="1:1" ht="18.75" x14ac:dyDescent="0.25">
      <c r="A64" s="61" t="str" cm="1">
        <f t="array" ref="A64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65" spans="1:1" ht="18.75" x14ac:dyDescent="0.25">
      <c r="A65" s="61" t="str" cm="1">
        <f t="array" ref="A65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66" spans="1:1" ht="18.75" x14ac:dyDescent="0.25">
      <c r="A66" s="61" t="str" cm="1">
        <f t="array" ref="A66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67" spans="1:1" ht="18.75" x14ac:dyDescent="0.25">
      <c r="A67" s="61" t="str" cm="1">
        <f t="array" ref="A67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68" spans="1:1" ht="18.75" x14ac:dyDescent="0.25">
      <c r="A68" s="61" t="str" cm="1">
        <f t="array" ref="A68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69" spans="1:1" ht="18.75" x14ac:dyDescent="0.25">
      <c r="A69" s="61" t="str" cm="1">
        <f t="array" ref="A69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70" spans="1:1" ht="18.75" x14ac:dyDescent="0.25">
      <c r="A70" s="61" t="str" cm="1">
        <f t="array" ref="A70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71" spans="1:1" ht="18.75" x14ac:dyDescent="0.25">
      <c r="A71" s="61" t="str" cm="1">
        <f t="array" ref="A71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72" spans="1:1" ht="18.75" x14ac:dyDescent="0.25">
      <c r="A72" s="61" t="str" cm="1">
        <f t="array" ref="A72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73" spans="1:1" ht="18.75" x14ac:dyDescent="0.25">
      <c r="A73" s="61" t="str" cm="1">
        <f t="array" ref="A73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74" spans="1:1" ht="18.75" x14ac:dyDescent="0.25">
      <c r="A74" s="61" t="str" cm="1">
        <f t="array" ref="A74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75" spans="1:1" ht="18.75" x14ac:dyDescent="0.25">
      <c r="A75" s="61" t="str" cm="1">
        <f t="array" ref="A75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76" spans="1:1" ht="18.75" x14ac:dyDescent="0.25">
      <c r="A76" s="61" t="str" cm="1">
        <f t="array" ref="A76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77" spans="1:1" ht="18.75" x14ac:dyDescent="0.25">
      <c r="A77" s="61" t="str" cm="1">
        <f t="array" ref="A77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78" spans="1:1" ht="18.75" x14ac:dyDescent="0.25">
      <c r="A78" s="61" t="str" cm="1">
        <f t="array" ref="A78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79" spans="1:1" ht="18.75" x14ac:dyDescent="0.25">
      <c r="A79" s="61" t="str" cm="1">
        <f t="array" ref="A79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80" spans="1:1" ht="18.75" x14ac:dyDescent="0.25">
      <c r="A80" s="61" t="str" cm="1">
        <f t="array" ref="A80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81" spans="1:1" ht="18.75" x14ac:dyDescent="0.25">
      <c r="A81" s="61" t="str" cm="1">
        <f t="array" ref="A81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82" spans="1:1" ht="18.75" x14ac:dyDescent="0.25">
      <c r="A82" s="61" t="str" cm="1">
        <f t="array" ref="A82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83" spans="1:1" ht="18.75" x14ac:dyDescent="0.25">
      <c r="A83" s="61" t="str" cm="1">
        <f t="array" ref="A83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84" spans="1:1" ht="18.75" x14ac:dyDescent="0.25">
      <c r="A84" s="61" t="str" cm="1">
        <f t="array" ref="A84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85" spans="1:1" ht="18.75" x14ac:dyDescent="0.25">
      <c r="A85" s="61" t="str" cm="1">
        <f t="array" ref="A85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86" spans="1:1" ht="18.75" x14ac:dyDescent="0.25">
      <c r="A86" s="61" t="str" cm="1">
        <f t="array" ref="A86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87" spans="1:1" ht="18.75" x14ac:dyDescent="0.25">
      <c r="A87" s="61" t="str" cm="1">
        <f t="array" ref="A87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88" spans="1:1" ht="18.75" x14ac:dyDescent="0.25">
      <c r="A88" s="61" t="str" cm="1">
        <f t="array" ref="A88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89" spans="1:1" ht="18.75" x14ac:dyDescent="0.25">
      <c r="A89" s="61" t="str" cm="1">
        <f t="array" ref="A89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90" spans="1:1" ht="18.75" x14ac:dyDescent="0.25">
      <c r="A90" s="61" t="str" cm="1">
        <f t="array" ref="A90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91" spans="1:1" ht="18.75" x14ac:dyDescent="0.25">
      <c r="A91" s="61" t="str" cm="1">
        <f t="array" ref="A91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92" spans="1:1" ht="18.75" x14ac:dyDescent="0.25">
      <c r="A92" s="61" t="str" cm="1">
        <f t="array" ref="A92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93" spans="1:1" ht="18.75" x14ac:dyDescent="0.25">
      <c r="A93" s="61" t="str" cm="1">
        <f t="array" ref="A93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94" spans="1:1" ht="18.75" x14ac:dyDescent="0.25">
      <c r="A94" s="61" t="str" cm="1">
        <f t="array" ref="A94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95" spans="1:1" ht="18.75" x14ac:dyDescent="0.25">
      <c r="A95" s="61" t="str" cm="1">
        <f t="array" ref="A95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96" spans="1:1" ht="18.75" x14ac:dyDescent="0.25">
      <c r="A96" s="61" t="str" cm="1">
        <f t="array" ref="A96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97" spans="1:1" ht="18.75" x14ac:dyDescent="0.25">
      <c r="A97" s="61" t="str" cm="1">
        <f t="array" ref="A97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98" spans="1:1" ht="18.75" x14ac:dyDescent="0.25">
      <c r="A98" s="61" t="str" cm="1">
        <f t="array" ref="A98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99" spans="1:1" ht="18.75" x14ac:dyDescent="0.25">
      <c r="A99" s="61" t="str" cm="1">
        <f t="array" ref="A99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00" spans="1:1" ht="18.75" x14ac:dyDescent="0.25">
      <c r="A100" s="61" t="str" cm="1">
        <f t="array" ref="A100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01" spans="1:1" ht="18.75" x14ac:dyDescent="0.25">
      <c r="A101" s="61" t="str" cm="1">
        <f t="array" ref="A101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02" spans="1:1" ht="18.75" x14ac:dyDescent="0.25">
      <c r="A102" s="61" t="str" cm="1">
        <f t="array" ref="A102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03" spans="1:1" ht="18.75" x14ac:dyDescent="0.25">
      <c r="A103" s="61" t="str" cm="1">
        <f t="array" ref="A103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04" spans="1:1" ht="18.75" x14ac:dyDescent="0.25">
      <c r="A104" s="61" t="str" cm="1">
        <f t="array" ref="A104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05" spans="1:1" ht="18.75" x14ac:dyDescent="0.25">
      <c r="A105" s="61" t="str" cm="1">
        <f t="array" ref="A105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06" spans="1:1" ht="18.75" x14ac:dyDescent="0.25">
      <c r="A106" s="61" t="str" cm="1">
        <f t="array" ref="A106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07" spans="1:1" ht="18.75" x14ac:dyDescent="0.25">
      <c r="A107" s="61" t="str" cm="1">
        <f t="array" ref="A107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08" spans="1:1" ht="18.75" x14ac:dyDescent="0.25">
      <c r="A108" s="61" t="str" cm="1">
        <f t="array" ref="A108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09" spans="1:1" ht="18.75" x14ac:dyDescent="0.25">
      <c r="A109" s="61" t="str" cm="1">
        <f t="array" ref="A109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10" spans="1:1" ht="18.75" x14ac:dyDescent="0.25">
      <c r="A110" s="61" t="str" cm="1">
        <f t="array" ref="A110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11" spans="1:1" ht="18.75" x14ac:dyDescent="0.25">
      <c r="A111" s="61" t="str" cm="1">
        <f t="array" ref="A111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12" spans="1:1" ht="18.75" x14ac:dyDescent="0.25">
      <c r="A112" s="61" t="str" cm="1">
        <f t="array" ref="A112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13" spans="1:1" ht="18.75" x14ac:dyDescent="0.25">
      <c r="A113" s="61" t="str" cm="1">
        <f t="array" ref="A113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14" spans="1:1" ht="18.75" x14ac:dyDescent="0.25">
      <c r="A114" s="61" t="str" cm="1">
        <f t="array" ref="A114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15" spans="1:1" ht="18.75" x14ac:dyDescent="0.25">
      <c r="A115" s="61" t="str" cm="1">
        <f t="array" ref="A115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16" spans="1:1" ht="18.75" x14ac:dyDescent="0.25">
      <c r="A116" s="61" t="str" cm="1">
        <f t="array" ref="A116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17" spans="1:1" ht="18.75" x14ac:dyDescent="0.25">
      <c r="A117" s="61" t="str" cm="1">
        <f t="array" ref="A117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18" spans="1:1" ht="18.75" x14ac:dyDescent="0.25">
      <c r="A118" s="61" t="str" cm="1">
        <f t="array" ref="A118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19" spans="1:1" ht="18.75" x14ac:dyDescent="0.25">
      <c r="A119" s="61" t="str" cm="1">
        <f t="array" ref="A119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20" spans="1:1" ht="18.75" x14ac:dyDescent="0.25">
      <c r="A120" s="61" t="str" cm="1">
        <f t="array" ref="A120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21" spans="1:1" ht="18.75" x14ac:dyDescent="0.25">
      <c r="A121" s="61" t="str" cm="1">
        <f t="array" ref="A121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22" spans="1:1" ht="18.75" x14ac:dyDescent="0.25">
      <c r="A122" s="61" t="str" cm="1">
        <f t="array" ref="A122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23" spans="1:1" ht="18.75" x14ac:dyDescent="0.25">
      <c r="A123" s="61" t="str" cm="1">
        <f t="array" ref="A123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24" spans="1:1" ht="18.75" x14ac:dyDescent="0.25">
      <c r="A124" s="61" t="str" cm="1">
        <f t="array" ref="A124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25" spans="1:1" ht="18.75" x14ac:dyDescent="0.25">
      <c r="A125" s="61" t="str" cm="1">
        <f t="array" ref="A125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26" spans="1:1" ht="18.75" x14ac:dyDescent="0.25">
      <c r="A126" s="61" t="str" cm="1">
        <f t="array" ref="A126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27" spans="1:1" ht="18.75" x14ac:dyDescent="0.25">
      <c r="A127" s="61" t="str" cm="1">
        <f t="array" ref="A127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28" spans="1:1" ht="18.75" x14ac:dyDescent="0.25">
      <c r="A128" s="61" t="str" cm="1">
        <f t="array" ref="A128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29" spans="1:1" ht="18.75" x14ac:dyDescent="0.25">
      <c r="A129" s="61" t="str" cm="1">
        <f t="array" ref="A129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30" spans="1:1" ht="18.75" x14ac:dyDescent="0.25">
      <c r="A130" s="61" t="str" cm="1">
        <f t="array" ref="A130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31" spans="1:1" ht="18.75" x14ac:dyDescent="0.25">
      <c r="A131" s="61" t="str" cm="1">
        <f t="array" ref="A131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32" spans="1:1" ht="18.75" x14ac:dyDescent="0.25">
      <c r="A132" s="61" t="str" cm="1">
        <f t="array" ref="A132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33" spans="1:1" ht="18.75" x14ac:dyDescent="0.25">
      <c r="A133" s="61" t="str" cm="1">
        <f t="array" ref="A133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34" spans="1:1" ht="18.75" x14ac:dyDescent="0.25">
      <c r="A134" s="61" t="str" cm="1">
        <f t="array" ref="A134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35" spans="1:1" ht="18.75" x14ac:dyDescent="0.25">
      <c r="A135" s="61" t="str" cm="1">
        <f t="array" ref="A135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36" spans="1:1" ht="18.75" x14ac:dyDescent="0.25">
      <c r="A136" s="61" t="str" cm="1">
        <f t="array" ref="A136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37" spans="1:1" ht="18.75" x14ac:dyDescent="0.25">
      <c r="A137" s="61" t="str" cm="1">
        <f t="array" ref="A137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38" spans="1:1" ht="18.75" x14ac:dyDescent="0.25">
      <c r="A138" s="61" t="str" cm="1">
        <f t="array" ref="A138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39" spans="1:1" ht="18.75" x14ac:dyDescent="0.25">
      <c r="A139" s="61" t="str" cm="1">
        <f t="array" ref="A139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40" spans="1:1" ht="18.75" x14ac:dyDescent="0.25">
      <c r="A140" s="61" t="str" cm="1">
        <f t="array" ref="A140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41" spans="1:1" ht="18.75" x14ac:dyDescent="0.25">
      <c r="A141" s="61" t="str" cm="1">
        <f t="array" ref="A141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42" spans="1:1" ht="18.75" x14ac:dyDescent="0.25">
      <c r="A142" s="61" t="str" cm="1">
        <f t="array" ref="A142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43" spans="1:1" ht="18.75" x14ac:dyDescent="0.25">
      <c r="A143" s="61" t="str" cm="1">
        <f t="array" ref="A143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44" spans="1:1" ht="18.75" x14ac:dyDescent="0.25">
      <c r="A144" s="61" t="str" cm="1">
        <f t="array" ref="A144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45" spans="1:1" ht="18.75" x14ac:dyDescent="0.25">
      <c r="A145" s="61" t="str" cm="1">
        <f t="array" ref="A145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46" spans="1:1" ht="18.75" x14ac:dyDescent="0.25">
      <c r="A146" s="61" t="str" cm="1">
        <f t="array" ref="A146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47" spans="1:1" ht="18.75" x14ac:dyDescent="0.25">
      <c r="A147" s="61" t="str" cm="1">
        <f t="array" ref="A147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48" spans="1:1" ht="18.75" x14ac:dyDescent="0.25">
      <c r="A148" s="61" t="str" cm="1">
        <f t="array" ref="A148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49" spans="1:1" ht="18.75" x14ac:dyDescent="0.25">
      <c r="A149" s="61" t="str" cm="1">
        <f t="array" ref="A149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50" spans="1:1" ht="18.75" x14ac:dyDescent="0.25">
      <c r="A150" s="61" t="str" cm="1">
        <f t="array" ref="A150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51" spans="1:1" ht="18.75" x14ac:dyDescent="0.25">
      <c r="A151" s="61" t="str" cm="1">
        <f t="array" ref="A151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52" spans="1:1" ht="18.75" x14ac:dyDescent="0.25">
      <c r="A152" s="61" t="str" cm="1">
        <f t="array" ref="A152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53" spans="1:1" ht="18.75" x14ac:dyDescent="0.25">
      <c r="A153" s="61" t="str" cm="1">
        <f t="array" ref="A153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54" spans="1:1" ht="18.75" x14ac:dyDescent="0.25">
      <c r="A154" s="61" t="str" cm="1">
        <f t="array" ref="A154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55" spans="1:1" ht="18.75" x14ac:dyDescent="0.25">
      <c r="A155" s="61" t="str" cm="1">
        <f t="array" ref="A155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56" spans="1:1" ht="18.75" x14ac:dyDescent="0.25">
      <c r="A156" s="61" t="str" cm="1">
        <f t="array" ref="A156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57" spans="1:1" ht="18.75" x14ac:dyDescent="0.25">
      <c r="A157" s="61" t="str" cm="1">
        <f t="array" ref="A157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58" spans="1:1" ht="18.75" x14ac:dyDescent="0.25">
      <c r="A158" s="61" t="str" cm="1">
        <f t="array" ref="A158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59" spans="1:1" ht="18.75" x14ac:dyDescent="0.25">
      <c r="A159" s="61" t="str" cm="1">
        <f t="array" ref="A159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60" spans="1:1" ht="18.75" x14ac:dyDescent="0.25">
      <c r="A160" s="61" t="str" cm="1">
        <f t="array" ref="A160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61" spans="1:1" ht="18.75" x14ac:dyDescent="0.25">
      <c r="A161" s="61" t="str" cm="1">
        <f t="array" ref="A161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62" spans="1:1" ht="18.75" x14ac:dyDescent="0.25">
      <c r="A162" s="61" t="str" cm="1">
        <f t="array" ref="A162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63" spans="1:1" ht="18.75" x14ac:dyDescent="0.25">
      <c r="A163" s="61" t="str" cm="1">
        <f t="array" ref="A163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64" spans="1:1" ht="18.75" x14ac:dyDescent="0.25">
      <c r="A164" s="61" t="str" cm="1">
        <f t="array" ref="A164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65" spans="1:1" ht="18.75" x14ac:dyDescent="0.25">
      <c r="A165" s="61" t="str" cm="1">
        <f t="array" ref="A165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66" spans="1:1" ht="18.75" x14ac:dyDescent="0.25">
      <c r="A166" s="61" t="str" cm="1">
        <f t="array" ref="A166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67" spans="1:1" ht="18.75" x14ac:dyDescent="0.25">
      <c r="A167" s="61" t="str" cm="1">
        <f t="array" ref="A167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68" spans="1:1" ht="18.75" x14ac:dyDescent="0.25">
      <c r="A168" s="61" t="str" cm="1">
        <f t="array" ref="A168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69" spans="1:1" ht="18.75" x14ac:dyDescent="0.25">
      <c r="A169" s="61" t="str" cm="1">
        <f t="array" ref="A169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70" spans="1:1" ht="18.75" x14ac:dyDescent="0.25">
      <c r="A170" s="61" t="str" cm="1">
        <f t="array" ref="A170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71" spans="1:1" ht="18.75" x14ac:dyDescent="0.25">
      <c r="A171" s="61" t="str" cm="1">
        <f t="array" ref="A171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72" spans="1:1" x14ac:dyDescent="0.25">
      <c r="A172" s="40"/>
    </row>
    <row r="173" spans="1:1" x14ac:dyDescent="0.25">
      <c r="A173" s="40"/>
    </row>
    <row r="174" spans="1:1" x14ac:dyDescent="0.25">
      <c r="A174" s="40"/>
    </row>
    <row r="175" spans="1:1" x14ac:dyDescent="0.25">
      <c r="A175" s="40"/>
    </row>
    <row r="176" spans="1:1" x14ac:dyDescent="0.25">
      <c r="A176" s="40"/>
    </row>
    <row r="177" spans="1:1" x14ac:dyDescent="0.25">
      <c r="A177" s="40"/>
    </row>
    <row r="178" spans="1:1" x14ac:dyDescent="0.25">
      <c r="A178" s="40"/>
    </row>
    <row r="179" spans="1:1" x14ac:dyDescent="0.25">
      <c r="A179" s="40"/>
    </row>
    <row r="180" spans="1:1" x14ac:dyDescent="0.25">
      <c r="A180" s="40"/>
    </row>
    <row r="181" spans="1:1" x14ac:dyDescent="0.25">
      <c r="A181" s="40"/>
    </row>
    <row r="182" spans="1:1" x14ac:dyDescent="0.25">
      <c r="A182" s="40"/>
    </row>
    <row r="183" spans="1:1" x14ac:dyDescent="0.25">
      <c r="A183" s="40"/>
    </row>
    <row r="184" spans="1:1" x14ac:dyDescent="0.25">
      <c r="A184" s="40"/>
    </row>
    <row r="185" spans="1:1" x14ac:dyDescent="0.25">
      <c r="A185" s="40"/>
    </row>
    <row r="186" spans="1:1" x14ac:dyDescent="0.25">
      <c r="A186" s="40"/>
    </row>
    <row r="187" spans="1:1" x14ac:dyDescent="0.25">
      <c r="A187" s="40"/>
    </row>
    <row r="188" spans="1:1" x14ac:dyDescent="0.25">
      <c r="A188" s="40"/>
    </row>
    <row r="189" spans="1:1" x14ac:dyDescent="0.25">
      <c r="A189" s="40"/>
    </row>
    <row r="190" spans="1:1" x14ac:dyDescent="0.25">
      <c r="A190" s="40"/>
    </row>
    <row r="191" spans="1:1" x14ac:dyDescent="0.25">
      <c r="A191" s="40"/>
    </row>
    <row r="192" spans="1:1" x14ac:dyDescent="0.25">
      <c r="A192" s="40"/>
    </row>
    <row r="193" spans="1:1" x14ac:dyDescent="0.25">
      <c r="A193" s="40"/>
    </row>
    <row r="194" spans="1:1" x14ac:dyDescent="0.25">
      <c r="A194" s="40"/>
    </row>
    <row r="195" spans="1:1" x14ac:dyDescent="0.25">
      <c r="A195" s="40"/>
    </row>
    <row r="196" spans="1:1" x14ac:dyDescent="0.25">
      <c r="A196" s="40"/>
    </row>
    <row r="197" spans="1:1" x14ac:dyDescent="0.25">
      <c r="A197" s="40"/>
    </row>
    <row r="198" spans="1:1" x14ac:dyDescent="0.25">
      <c r="A198" s="40"/>
    </row>
    <row r="199" spans="1:1" x14ac:dyDescent="0.25">
      <c r="A199" s="40"/>
    </row>
    <row r="200" spans="1:1" x14ac:dyDescent="0.25">
      <c r="A200" s="40"/>
    </row>
    <row r="201" spans="1:1" x14ac:dyDescent="0.25">
      <c r="A201" s="40"/>
    </row>
    <row r="202" spans="1:1" x14ac:dyDescent="0.25">
      <c r="A202" s="40"/>
    </row>
    <row r="203" spans="1:1" x14ac:dyDescent="0.25">
      <c r="A203" s="40"/>
    </row>
    <row r="204" spans="1:1" x14ac:dyDescent="0.25">
      <c r="A204" s="40"/>
    </row>
    <row r="205" spans="1:1" x14ac:dyDescent="0.25">
      <c r="A205" s="40"/>
    </row>
    <row r="206" spans="1:1" x14ac:dyDescent="0.25">
      <c r="A206" s="40"/>
    </row>
    <row r="207" spans="1:1" x14ac:dyDescent="0.25">
      <c r="A207" s="40"/>
    </row>
    <row r="208" spans="1:1" x14ac:dyDescent="0.25">
      <c r="A208" s="40"/>
    </row>
    <row r="209" spans="1:1" x14ac:dyDescent="0.25">
      <c r="A209" s="40"/>
    </row>
    <row r="210" spans="1:1" x14ac:dyDescent="0.25">
      <c r="A210" s="40"/>
    </row>
    <row r="211" spans="1:1" x14ac:dyDescent="0.25">
      <c r="A211" s="40"/>
    </row>
    <row r="212" spans="1:1" x14ac:dyDescent="0.25">
      <c r="A212" s="40"/>
    </row>
    <row r="213" spans="1:1" x14ac:dyDescent="0.25">
      <c r="A213" s="40"/>
    </row>
    <row r="214" spans="1:1" x14ac:dyDescent="0.25">
      <c r="A214" s="40"/>
    </row>
    <row r="215" spans="1:1" x14ac:dyDescent="0.25">
      <c r="A215" s="40"/>
    </row>
    <row r="216" spans="1:1" x14ac:dyDescent="0.25">
      <c r="A216" s="40"/>
    </row>
    <row r="217" spans="1:1" x14ac:dyDescent="0.25">
      <c r="A217" s="40"/>
    </row>
    <row r="218" spans="1:1" x14ac:dyDescent="0.25">
      <c r="A218" s="40"/>
    </row>
    <row r="219" spans="1:1" x14ac:dyDescent="0.25">
      <c r="A219" s="40"/>
    </row>
    <row r="220" spans="1:1" x14ac:dyDescent="0.25">
      <c r="A220" s="40"/>
    </row>
    <row r="221" spans="1:1" x14ac:dyDescent="0.25">
      <c r="A221" s="40"/>
    </row>
    <row r="222" spans="1:1" x14ac:dyDescent="0.25">
      <c r="A222" s="40"/>
    </row>
    <row r="223" spans="1:1" x14ac:dyDescent="0.25">
      <c r="A223" s="40"/>
    </row>
    <row r="224" spans="1:1" x14ac:dyDescent="0.25">
      <c r="A224" s="40"/>
    </row>
    <row r="225" spans="1:1" x14ac:dyDescent="0.25">
      <c r="A225" s="40"/>
    </row>
    <row r="226" spans="1:1" x14ac:dyDescent="0.25">
      <c r="A226" s="40"/>
    </row>
    <row r="227" spans="1:1" x14ac:dyDescent="0.25">
      <c r="A227" s="40"/>
    </row>
    <row r="228" spans="1:1" x14ac:dyDescent="0.25">
      <c r="A228" s="40"/>
    </row>
    <row r="229" spans="1:1" x14ac:dyDescent="0.25">
      <c r="A229" s="40"/>
    </row>
    <row r="230" spans="1:1" x14ac:dyDescent="0.25">
      <c r="A230" s="40"/>
    </row>
    <row r="231" spans="1:1" x14ac:dyDescent="0.25">
      <c r="A231" s="40"/>
    </row>
    <row r="232" spans="1:1" x14ac:dyDescent="0.25">
      <c r="A232" s="40"/>
    </row>
    <row r="233" spans="1:1" x14ac:dyDescent="0.25">
      <c r="A233" s="40"/>
    </row>
    <row r="234" spans="1:1" x14ac:dyDescent="0.25">
      <c r="A234" s="40"/>
    </row>
    <row r="235" spans="1:1" x14ac:dyDescent="0.25">
      <c r="A235" s="40"/>
    </row>
    <row r="236" spans="1:1" x14ac:dyDescent="0.25">
      <c r="A236" s="40"/>
    </row>
    <row r="237" spans="1:1" x14ac:dyDescent="0.25">
      <c r="A237" s="40"/>
    </row>
    <row r="238" spans="1:1" x14ac:dyDescent="0.25">
      <c r="A238" s="40"/>
    </row>
    <row r="239" spans="1:1" x14ac:dyDescent="0.25">
      <c r="A239" s="40"/>
    </row>
    <row r="240" spans="1:1" x14ac:dyDescent="0.25">
      <c r="A240" s="40"/>
    </row>
    <row r="241" spans="1:1" x14ac:dyDescent="0.25">
      <c r="A241" s="40"/>
    </row>
    <row r="242" spans="1:1" x14ac:dyDescent="0.25">
      <c r="A242" s="40"/>
    </row>
    <row r="243" spans="1:1" x14ac:dyDescent="0.25">
      <c r="A243" s="40"/>
    </row>
    <row r="244" spans="1:1" x14ac:dyDescent="0.25">
      <c r="A244" s="40"/>
    </row>
    <row r="245" spans="1:1" x14ac:dyDescent="0.25">
      <c r="A245" s="40"/>
    </row>
    <row r="246" spans="1:1" x14ac:dyDescent="0.25">
      <c r="A246" s="40"/>
    </row>
    <row r="247" spans="1:1" x14ac:dyDescent="0.25">
      <c r="A247" s="40"/>
    </row>
  </sheetData>
  <sheetProtection algorithmName="SHA-512" hashValue="Hr8BLPHE8aStrfbfo1PshaKYB67lfDL5EV7+nIMp6lcl06U4ZrxoEu6yeKQ3RMjjHkLpzcAzAftGdFX7zLIFMQ==" saltValue="HIGPb4HV0VIz+WwrLFgUPg==" spinCount="100000" sheet="1" objects="1" scenarios="1"/>
  <mergeCells count="60">
    <mergeCell ref="B17:F17"/>
    <mergeCell ref="G17:K17"/>
    <mergeCell ref="L17:P17"/>
    <mergeCell ref="Q17:U17"/>
    <mergeCell ref="V17:Z17"/>
    <mergeCell ref="B15:F15"/>
    <mergeCell ref="G15:K15"/>
    <mergeCell ref="L15:P15"/>
    <mergeCell ref="Q15:U15"/>
    <mergeCell ref="V15:Z15"/>
    <mergeCell ref="G13:K13"/>
    <mergeCell ref="L13:P13"/>
    <mergeCell ref="Q13:U13"/>
    <mergeCell ref="V13:Z13"/>
    <mergeCell ref="AA13:AE13"/>
    <mergeCell ref="L7:P7"/>
    <mergeCell ref="L4:P4"/>
    <mergeCell ref="G4:K4"/>
    <mergeCell ref="G7:K7"/>
    <mergeCell ref="B7:F7"/>
    <mergeCell ref="B4:F4"/>
    <mergeCell ref="B9:F9"/>
    <mergeCell ref="G9:K9"/>
    <mergeCell ref="L9:P9"/>
    <mergeCell ref="AF15:AK15"/>
    <mergeCell ref="AF17:AK17"/>
    <mergeCell ref="AA15:AE15"/>
    <mergeCell ref="AA17:AE17"/>
    <mergeCell ref="AF11:AK11"/>
    <mergeCell ref="AF13:AK13"/>
    <mergeCell ref="B11:F11"/>
    <mergeCell ref="G11:K11"/>
    <mergeCell ref="L11:P11"/>
    <mergeCell ref="Q11:U11"/>
    <mergeCell ref="V11:Z11"/>
    <mergeCell ref="AA11:AE11"/>
    <mergeCell ref="B13:F13"/>
    <mergeCell ref="AF7:AK7"/>
    <mergeCell ref="AF9:AK9"/>
    <mergeCell ref="Q9:U9"/>
    <mergeCell ref="V9:Z9"/>
    <mergeCell ref="AA9:AE9"/>
    <mergeCell ref="AA7:AE7"/>
    <mergeCell ref="V7:Z7"/>
    <mergeCell ref="Q7:U7"/>
    <mergeCell ref="A14:A15"/>
    <mergeCell ref="A16:A17"/>
    <mergeCell ref="A6:A7"/>
    <mergeCell ref="A8:A9"/>
    <mergeCell ref="A10:A11"/>
    <mergeCell ref="A12:A13"/>
    <mergeCell ref="A4:A5"/>
    <mergeCell ref="A2:Q2"/>
    <mergeCell ref="A1:AK1"/>
    <mergeCell ref="R2:AK2"/>
    <mergeCell ref="AA4:AE4"/>
    <mergeCell ref="V4:Z4"/>
    <mergeCell ref="Q4:U4"/>
    <mergeCell ref="AF4:AK4"/>
    <mergeCell ref="A3:AK3"/>
  </mergeCells>
  <conditionalFormatting sqref="A20:XFD195 AL8:XFD10 AM11:XFD11 B18:XFD19 AL12:XFD17">
    <cfRule type="notContainsBlanks" dxfId="4" priority="2">
      <formula>LEN(TRIM(A8))&gt;0</formula>
    </cfRule>
  </conditionalFormatting>
  <conditionalFormatting sqref="B6:AK51">
    <cfRule type="cellIs" dxfId="3" priority="1" operator="equal">
      <formula>0</formula>
    </cfRule>
  </conditionalFormatting>
  <dataValidations count="1">
    <dataValidation type="list" allowBlank="1" showInputMessage="1" showErrorMessage="1" sqref="R2:AK2" xr:uid="{C96E45B1-683B-4320-A38F-757A9F46D1CB}">
      <formula1>"9,10"</formula1>
    </dataValidation>
  </dataValidations>
  <pageMargins left="0.25" right="0.25" top="0.75" bottom="0.75" header="0.3" footer="0.3"/>
  <pageSetup paperSize="9" scale="38" fitToHeight="0" orientation="landscape" r:id="rId1"/>
  <rowBreaks count="1" manualBreakCount="1">
    <brk id="35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DBDC42-D2EB-4037-A296-0BFFEB06AA70}">
  <sheetPr codeName="Sheet10">
    <pageSetUpPr fitToPage="1"/>
  </sheetPr>
  <dimension ref="A1:BB245"/>
  <sheetViews>
    <sheetView showRowColHeaders="0" topLeftCell="A4" zoomScale="70" zoomScaleNormal="70" zoomScaleSheetLayoutView="70" workbookViewId="0">
      <selection activeCell="S5" sqref="S5"/>
    </sheetView>
  </sheetViews>
  <sheetFormatPr defaultRowHeight="15" x14ac:dyDescent="0.25"/>
  <cols>
    <col min="1" max="1" width="23" style="15" bestFit="1" customWidth="1"/>
    <col min="2" max="34" width="9.140625" style="15"/>
    <col min="35" max="35" width="9.28515625" style="15" bestFit="1" customWidth="1"/>
    <col min="36" max="36" width="9.28515625" style="15" customWidth="1"/>
    <col min="37" max="37" width="12.140625" style="15" bestFit="1" customWidth="1"/>
    <col min="38" max="52" width="9.140625" style="15"/>
    <col min="53" max="53" width="15.85546875" style="15" hidden="1" customWidth="1"/>
    <col min="54" max="54" width="17.28515625" style="15" hidden="1" customWidth="1"/>
    <col min="55" max="16384" width="9.140625" style="15"/>
  </cols>
  <sheetData>
    <row r="1" spans="1:54" ht="34.5" customHeight="1" x14ac:dyDescent="0.25">
      <c r="A1" s="119" t="str">
        <f>LIFAFA2!A1</f>
        <v xml:space="preserve">राजकीय उच्च माध्यमिक विद्यालय ,मोराझड़ी (214242) श्रीनगर 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  <c r="U1" s="119"/>
      <c r="V1" s="119"/>
      <c r="W1" s="119"/>
      <c r="X1" s="119"/>
      <c r="Y1" s="119"/>
      <c r="Z1" s="119"/>
      <c r="AA1" s="119"/>
      <c r="AB1" s="119"/>
      <c r="AC1" s="119"/>
      <c r="AD1" s="119"/>
      <c r="AE1" s="119"/>
      <c r="AF1" s="119"/>
      <c r="AG1" s="119"/>
      <c r="AH1" s="119"/>
      <c r="AI1" s="119"/>
      <c r="AJ1" s="119"/>
      <c r="AK1" s="119"/>
      <c r="BA1" s="15" t="s">
        <v>1427</v>
      </c>
      <c r="BB1" s="15" t="s">
        <v>1427</v>
      </c>
    </row>
    <row r="2" spans="1:54" ht="35.25" customHeight="1" x14ac:dyDescent="0.25">
      <c r="A2" s="118" t="s">
        <v>1388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20">
        <v>12</v>
      </c>
      <c r="S2" s="120"/>
      <c r="T2" s="120"/>
      <c r="U2" s="120"/>
      <c r="V2" s="120"/>
      <c r="W2" s="120"/>
      <c r="X2" s="120"/>
      <c r="Y2" s="120"/>
      <c r="Z2" s="120"/>
      <c r="AA2" s="120"/>
      <c r="AB2" s="120"/>
      <c r="AC2" s="120"/>
      <c r="AD2" s="120"/>
      <c r="AE2" s="120"/>
      <c r="AF2" s="120"/>
      <c r="AG2" s="120"/>
      <c r="AH2" s="120"/>
      <c r="AI2" s="120"/>
      <c r="AJ2" s="120"/>
      <c r="AK2" s="120"/>
      <c r="BA2" s="15" t="s">
        <v>1428</v>
      </c>
      <c r="BB2" s="15" t="s">
        <v>1428</v>
      </c>
    </row>
    <row r="3" spans="1:54" ht="39.75" customHeight="1" x14ac:dyDescent="0.25">
      <c r="A3" s="126" t="s">
        <v>1425</v>
      </c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127"/>
      <c r="T3" s="127"/>
      <c r="U3" s="127"/>
      <c r="V3" s="127"/>
      <c r="W3" s="127"/>
      <c r="X3" s="127"/>
      <c r="Y3" s="127"/>
      <c r="Z3" s="127"/>
      <c r="AA3" s="127"/>
      <c r="AB3" s="127"/>
      <c r="AC3" s="127"/>
      <c r="AD3" s="127"/>
      <c r="AE3" s="128"/>
      <c r="AF3" s="80" t="s">
        <v>3</v>
      </c>
      <c r="AG3" s="80"/>
      <c r="AH3" s="80"/>
      <c r="AI3" s="80"/>
      <c r="AJ3" s="80"/>
      <c r="AK3" s="80"/>
      <c r="BA3" s="15" t="s">
        <v>1430</v>
      </c>
      <c r="BB3" s="15" t="s">
        <v>1429</v>
      </c>
    </row>
    <row r="4" spans="1:54" ht="30" customHeight="1" x14ac:dyDescent="0.25">
      <c r="A4" s="117" t="s">
        <v>1426</v>
      </c>
      <c r="B4" s="105" t="s">
        <v>4</v>
      </c>
      <c r="C4" s="121"/>
      <c r="D4" s="121"/>
      <c r="E4" s="121"/>
      <c r="F4" s="122"/>
      <c r="G4" s="105" t="s">
        <v>5</v>
      </c>
      <c r="H4" s="121"/>
      <c r="I4" s="121"/>
      <c r="J4" s="121"/>
      <c r="K4" s="122"/>
      <c r="L4" s="105" t="s">
        <v>6</v>
      </c>
      <c r="M4" s="121"/>
      <c r="N4" s="121"/>
      <c r="O4" s="121"/>
      <c r="P4" s="122"/>
      <c r="Q4" s="105" t="s">
        <v>7</v>
      </c>
      <c r="R4" s="121"/>
      <c r="S4" s="121"/>
      <c r="T4" s="121"/>
      <c r="U4" s="122"/>
      <c r="V4" s="105" t="s">
        <v>8</v>
      </c>
      <c r="W4" s="121"/>
      <c r="X4" s="121"/>
      <c r="Y4" s="121"/>
      <c r="Z4" s="122"/>
      <c r="AA4" s="105" t="s">
        <v>9</v>
      </c>
      <c r="AB4" s="121"/>
      <c r="AC4" s="121"/>
      <c r="AD4" s="121"/>
      <c r="AE4" s="122"/>
      <c r="AF4" s="80"/>
      <c r="AG4" s="80"/>
      <c r="AH4" s="80"/>
      <c r="AI4" s="80"/>
      <c r="AJ4" s="80"/>
      <c r="AK4" s="80"/>
      <c r="BA4" s="15" t="s">
        <v>1432</v>
      </c>
      <c r="BB4" s="15" t="s">
        <v>1431</v>
      </c>
    </row>
    <row r="5" spans="1:54" ht="30" customHeight="1" x14ac:dyDescent="0.25">
      <c r="A5" s="117"/>
      <c r="B5" s="51" t="s">
        <v>14</v>
      </c>
      <c r="C5" s="51" t="s">
        <v>15</v>
      </c>
      <c r="D5" s="51" t="s">
        <v>16</v>
      </c>
      <c r="E5" s="25" t="s">
        <v>3</v>
      </c>
      <c r="F5" s="51" t="s">
        <v>1380</v>
      </c>
      <c r="G5" s="51" t="s">
        <v>14</v>
      </c>
      <c r="H5" s="51" t="s">
        <v>15</v>
      </c>
      <c r="I5" s="51" t="s">
        <v>16</v>
      </c>
      <c r="J5" s="25" t="s">
        <v>3</v>
      </c>
      <c r="K5" s="51" t="s">
        <v>1380</v>
      </c>
      <c r="L5" s="51" t="s">
        <v>14</v>
      </c>
      <c r="M5" s="51" t="s">
        <v>15</v>
      </c>
      <c r="N5" s="51" t="s">
        <v>16</v>
      </c>
      <c r="O5" s="25" t="s">
        <v>3</v>
      </c>
      <c r="P5" s="51" t="s">
        <v>1380</v>
      </c>
      <c r="Q5" s="51" t="s">
        <v>14</v>
      </c>
      <c r="R5" s="51" t="s">
        <v>15</v>
      </c>
      <c r="S5" s="51" t="s">
        <v>16</v>
      </c>
      <c r="T5" s="25" t="s">
        <v>3</v>
      </c>
      <c r="U5" s="51" t="s">
        <v>1380</v>
      </c>
      <c r="V5" s="51" t="s">
        <v>14</v>
      </c>
      <c r="W5" s="51" t="s">
        <v>15</v>
      </c>
      <c r="X5" s="51" t="s">
        <v>16</v>
      </c>
      <c r="Y5" s="25" t="s">
        <v>3</v>
      </c>
      <c r="Z5" s="51" t="s">
        <v>1380</v>
      </c>
      <c r="AA5" s="51" t="s">
        <v>14</v>
      </c>
      <c r="AB5" s="51" t="s">
        <v>15</v>
      </c>
      <c r="AC5" s="51" t="s">
        <v>16</v>
      </c>
      <c r="AD5" s="25" t="s">
        <v>3</v>
      </c>
      <c r="AE5" s="51" t="s">
        <v>1380</v>
      </c>
      <c r="AF5" s="51" t="s">
        <v>14</v>
      </c>
      <c r="AG5" s="51" t="s">
        <v>15</v>
      </c>
      <c r="AH5" s="51" t="s">
        <v>16</v>
      </c>
      <c r="AI5" s="51" t="s">
        <v>1435</v>
      </c>
      <c r="AJ5" s="51" t="s">
        <v>1380</v>
      </c>
      <c r="AK5" s="51" t="s">
        <v>1379</v>
      </c>
      <c r="BA5" s="15" t="s">
        <v>1433</v>
      </c>
      <c r="BB5" s="15" t="s">
        <v>1375</v>
      </c>
    </row>
    <row r="6" spans="1:54" ht="34.5" customHeight="1" x14ac:dyDescent="0.25">
      <c r="A6" s="143" t="str">
        <f>STUDENTDATA!I1</f>
        <v>हिन्दी</v>
      </c>
      <c r="B6" s="52">
        <f>COUNTIFS(STUDENTDATA!$A:$A, SUBJECTWISE11_12!$R$2, STUDENTDATA!$F:$F, "SC", STUDENTDATA!$I:$I, "I")</f>
        <v>0</v>
      </c>
      <c r="C6" s="52">
        <f>COUNTIFS(STUDENTDATA!$A:$A, SUBJECTWISE11_12!$R$2, STUDENTDATA!$F:$F, "SC", STUDENTDATA!$I:$I, "II")</f>
        <v>0</v>
      </c>
      <c r="D6" s="52">
        <f>COUNTIFS(STUDENTDATA!$A:$A, SUBJECTWISE11_12!$R$2, STUDENTDATA!$F:$F, "SC", STUDENTDATA!$I:$I, "III")</f>
        <v>0</v>
      </c>
      <c r="E6" s="52">
        <f>B6+C6+D6</f>
        <v>0</v>
      </c>
      <c r="F6" s="52">
        <f>COUNTIFS(STUDENTDATA!$A:$A, SUBJECTWISE11_12!$R$2, STUDENTDATA!$F:$F, "SC", STUDENTDATA!$I:$I, "अनुत्तीर्ण")</f>
        <v>0</v>
      </c>
      <c r="G6" s="52">
        <f>COUNTIFS(STUDENTDATA!$A:$A, SUBJECTWISE11_12!$R$2, STUDENTDATA!$F:$F, "ST", STUDENTDATA!$I:$I, "I")</f>
        <v>0</v>
      </c>
      <c r="H6" s="52">
        <f>COUNTIFS(STUDENTDATA!$A:$A, SUBJECTWISE11_12!$R$2, STUDENTDATA!$F:$F, "ST", STUDENTDATA!$I:$I, "II")</f>
        <v>0</v>
      </c>
      <c r="I6" s="52">
        <f>COUNTIFS(STUDENTDATA!$A:$A, SUBJECTWISE11_12!$R$2, STUDENTDATA!$F:$F, "ST", STUDENTDATA!$I:$I, "III")</f>
        <v>0</v>
      </c>
      <c r="J6" s="52">
        <f>G6+H6+I6</f>
        <v>0</v>
      </c>
      <c r="K6" s="52">
        <f>COUNTIFS(STUDENTDATA!$A:$A, SUBJECTWISE11_12!$R$2, STUDENTDATA!$F:$F, "ST", STUDENTDATA!$I:$I, "अनुत्तीर्ण")</f>
        <v>0</v>
      </c>
      <c r="L6" s="52">
        <f>COUNTIFS(STUDENTDATA!$A:$A, SUBJECTWISE11_12!$R$2, STUDENTDATA!$F:$F, "OBC", STUDENTDATA!$I:$I, "I")</f>
        <v>0</v>
      </c>
      <c r="M6" s="52">
        <f>COUNTIFS(STUDENTDATA!$A:$A, SUBJECTWISE11_12!$R$2, STUDENTDATA!$F:$F, "OBC", STUDENTDATA!$I:$I, "II")</f>
        <v>0</v>
      </c>
      <c r="N6" s="52">
        <f>COUNTIFS(STUDENTDATA!$A:$A, SUBJECTWISE11_12!$R$2, STUDENTDATA!$F:$F, "OBC", STUDENTDATA!$I:$I, "III")</f>
        <v>0</v>
      </c>
      <c r="O6" s="52">
        <f>L6+M6+N6</f>
        <v>0</v>
      </c>
      <c r="P6" s="52">
        <f>COUNTIFS(STUDENTDATA!$A:$A, SUBJECTWISE11_12!$R$2, STUDENTDATA!$F:$F, "OBC", STUDENTDATA!$I:$I, "अनुत्तीर्ण")</f>
        <v>0</v>
      </c>
      <c r="Q6" s="52">
        <f>COUNTIFS(STUDENTDATA!$A:$A, SUBJECTWISE11_12!$R$2, STUDENTDATA!$F:$F, "SBC", STUDENTDATA!$I:$I, "I")</f>
        <v>0</v>
      </c>
      <c r="R6" s="52">
        <f>COUNTIFS(STUDENTDATA!$A:$A, SUBJECTWISE11_12!$R$2, STUDENTDATA!$F:$F, "SBC", STUDENTDATA!$I:$I, "II")</f>
        <v>0</v>
      </c>
      <c r="S6" s="52">
        <f>COUNTIFS(STUDENTDATA!$A:$A, SUBJECTWISE11_12!$R$2, STUDENTDATA!$F:$F, "SBC", STUDENTDATA!$I:$I, "III")</f>
        <v>0</v>
      </c>
      <c r="T6" s="52">
        <f>Q6+R6+S6</f>
        <v>0</v>
      </c>
      <c r="U6" s="52">
        <f>COUNTIFS(STUDENTDATA!$A:$A, SUBJECTWISE11_12!$R$2, STUDENTDATA!$F:$F, "SBC", STUDENTDATA!$I:$I, "अनुत्तीर्ण")</f>
        <v>0</v>
      </c>
      <c r="V6" s="52">
        <f>COUNTIFS(STUDENTDATA!$A:$A, SUBJECTWISE11_12!$R$2, STUDENTDATA!$F:$F, "GEN", STUDENTDATA!$I:$I, "I")</f>
        <v>0</v>
      </c>
      <c r="W6" s="52">
        <f>COUNTIFS(STUDENTDATA!$A:$A, SUBJECTWISE11_12!$R$2, STUDENTDATA!$F:$F, "GEN", STUDENTDATA!$I:$I, "II")</f>
        <v>0</v>
      </c>
      <c r="X6" s="52">
        <f>COUNTIFS(STUDENTDATA!$A:$A, SUBJECTWISE11_12!$R$2, STUDENTDATA!$F:$F, "GEN", STUDENTDATA!$I:$I, "III")</f>
        <v>0</v>
      </c>
      <c r="Y6" s="52">
        <f>V6+W6+X6</f>
        <v>0</v>
      </c>
      <c r="Z6" s="52">
        <f>COUNTIFS(STUDENTDATA!$A:$A, SUBJECTWISE11_12!$R$2, STUDENTDATA!$F:$F, "GEN", STUDENTDATA!$I:$I, "अनुत्तीर्ण")</f>
        <v>0</v>
      </c>
      <c r="AA6" s="52">
        <f>COUNTIFS(STUDENTDATA!$A:$A, SUBJECTWISE11_12!$R$2, STUDENTDATA!$F:$F, "MIN", STUDENTDATA!$I:$I, "I")</f>
        <v>0</v>
      </c>
      <c r="AB6" s="52">
        <f>COUNTIFS(STUDENTDATA!$A:$A, SUBJECTWISE11_12!$R$2, STUDENTDATA!$F:$F, "MIN", STUDENTDATA!$I:$I, "II")</f>
        <v>0</v>
      </c>
      <c r="AC6" s="52">
        <f>COUNTIFS(STUDENTDATA!$A:$A, SUBJECTWISE11_12!$R$2, STUDENTDATA!$F:$F, "MIN", STUDENTDATA!$I:$I, "III")</f>
        <v>0</v>
      </c>
      <c r="AD6" s="52">
        <f>AA6+AB6+AC6</f>
        <v>0</v>
      </c>
      <c r="AE6" s="52">
        <f>COUNTIFS(STUDENTDATA!$A:$A, SUBJECTWISE11_12!$R$2, STUDENTDATA!$F:$F, "MIN", STUDENTDATA!$I:$I, "अनुत्तीर्ण")</f>
        <v>0</v>
      </c>
      <c r="AF6" s="56">
        <f>B6+G6+L6+Q6+V6+AA6</f>
        <v>0</v>
      </c>
      <c r="AG6" s="56">
        <f t="shared" ref="AG6:AH6" si="0">C6+H6+M6+R6+W6+AB6</f>
        <v>0</v>
      </c>
      <c r="AH6" s="56">
        <f t="shared" si="0"/>
        <v>0</v>
      </c>
      <c r="AI6" s="56">
        <f>AF6+AG6+AH6</f>
        <v>0</v>
      </c>
      <c r="AJ6" s="52">
        <f>COUNTIFS(STUDENTDATA!$A:$A, SUBJECTWISE11_12!$R$2, STUDENTDATA!$I:$I, "अनुत्तीर्ण")</f>
        <v>0</v>
      </c>
      <c r="AK6" s="52">
        <f>COUNTIFS(STUDENTDATA!$A:$A, SUBJECTWISE11_12!$R$2, STUDENTDATA!$I:$I, "अनुपस्थित")</f>
        <v>0</v>
      </c>
      <c r="BA6" s="15" t="s">
        <v>1434</v>
      </c>
    </row>
    <row r="7" spans="1:54" ht="34.5" customHeight="1" x14ac:dyDescent="0.25">
      <c r="A7" s="143"/>
      <c r="B7" s="137" t="str">
        <f ca="1">IF(LIFAFA2!$E$6=0, "", TEXT(E6/LIFAFA2!$E$6, "0.00%"))</f>
        <v/>
      </c>
      <c r="C7" s="138"/>
      <c r="D7" s="138"/>
      <c r="E7" s="138"/>
      <c r="F7" s="139"/>
      <c r="G7" s="137" t="str">
        <f ca="1">IF(LIFAFA2!$H$6=0, "", TEXT(J6/LIFAFA2!$H$6, "0.00%"))</f>
        <v/>
      </c>
      <c r="H7" s="138"/>
      <c r="I7" s="138"/>
      <c r="J7" s="138"/>
      <c r="K7" s="139"/>
      <c r="L7" s="137" t="str">
        <f ca="1">IF(LIFAFA2!$K$6=0, "", TEXT(O6/LIFAFA2!$K$6, "0.00%"))</f>
        <v/>
      </c>
      <c r="M7" s="138"/>
      <c r="N7" s="138"/>
      <c r="O7" s="138"/>
      <c r="P7" s="139"/>
      <c r="Q7" s="137" t="str">
        <f ca="1">IF(LIFAFA2!$N$6=0, "", TEXT(T6/LIFAFA2!$N$6, "0.00%"))</f>
        <v/>
      </c>
      <c r="R7" s="138"/>
      <c r="S7" s="138"/>
      <c r="T7" s="138"/>
      <c r="U7" s="139"/>
      <c r="V7" s="137" t="str">
        <f ca="1">IF(LIFAFA2!$Q$6=0, "", TEXT(Y6/LIFAFA2!$Q$6, "0.00%"))</f>
        <v/>
      </c>
      <c r="W7" s="138"/>
      <c r="X7" s="138"/>
      <c r="Y7" s="138"/>
      <c r="Z7" s="139"/>
      <c r="AA7" s="137" t="str">
        <f ca="1">IF(LIFAFA2!$T$6=0, "", TEXT(AD6/LIFAFA2!$T$6, "0.00%"))</f>
        <v/>
      </c>
      <c r="AB7" s="138"/>
      <c r="AC7" s="138"/>
      <c r="AD7" s="138"/>
      <c r="AE7" s="139"/>
      <c r="AF7" s="140" t="str">
        <f ca="1">IF(LIFAFA2!$W$6=0, "", TEXT(AI6/LIFAFA2!$W$6, "0.00%"))</f>
        <v/>
      </c>
      <c r="AG7" s="141"/>
      <c r="AH7" s="141"/>
      <c r="AI7" s="141"/>
      <c r="AJ7" s="141"/>
      <c r="AK7" s="142"/>
    </row>
    <row r="8" spans="1:54" ht="34.5" customHeight="1" x14ac:dyDescent="0.25">
      <c r="A8" s="143" t="str">
        <f>STUDENTDATA!J1</f>
        <v xml:space="preserve">अंग्रेजी </v>
      </c>
      <c r="B8" s="52">
        <f>COUNTIFS(STUDENTDATA!$A:$A, SUBJECTWISE11_12!$R$2, STUDENTDATA!$F:$F, "SC", STUDENTDATA!$J:$J, "I")</f>
        <v>0</v>
      </c>
      <c r="C8" s="52">
        <f>COUNTIFS(STUDENTDATA!$A:$A, SUBJECTWISE11_12!$R$2, STUDENTDATA!$F:$F, "SC", STUDENTDATA!$J:$J, "II")</f>
        <v>0</v>
      </c>
      <c r="D8" s="52">
        <f>COUNTIFS(STUDENTDATA!$A:$A, SUBJECTWISE11_12!$R$2, STUDENTDATA!$F:$F, "SC", STUDENTDATA!$J:$J, "III")</f>
        <v>0</v>
      </c>
      <c r="E8" s="52">
        <f>B8+C8+D8</f>
        <v>0</v>
      </c>
      <c r="F8" s="52">
        <f>COUNTIFS(STUDENTDATA!$A:$A, SUBJECTWISE11_12!$R$2, STUDENTDATA!$F:$F, "SC", STUDENTDATA!$J:$J, "अनुत्तीर्ण")</f>
        <v>0</v>
      </c>
      <c r="G8" s="52">
        <f>COUNTIFS(STUDENTDATA!$A:$A, SUBJECTWISE11_12!$R$2, STUDENTDATA!$F:$F, "ST", STUDENTDATA!$J:$J, "I")</f>
        <v>0</v>
      </c>
      <c r="H8" s="52">
        <f>COUNTIFS(STUDENTDATA!$A:$A, SUBJECTWISE11_12!$R$2, STUDENTDATA!$F:$F, "ST", STUDENTDATA!$J:$J, "II")</f>
        <v>0</v>
      </c>
      <c r="I8" s="52">
        <f>COUNTIFS(STUDENTDATA!$A:$A, SUBJECTWISE11_12!$R$2, STUDENTDATA!$F:$F, "ST", STUDENTDATA!$J:$J, "III")</f>
        <v>0</v>
      </c>
      <c r="J8" s="52">
        <f>G8+H8+I8</f>
        <v>0</v>
      </c>
      <c r="K8" s="52">
        <f>COUNTIFS(STUDENTDATA!$A:$A, SUBJECTWISE11_12!$R$2, STUDENTDATA!$F:$F, "ST", STUDENTDATA!$J:$J, "अनुत्तीर्ण")</f>
        <v>0</v>
      </c>
      <c r="L8" s="52">
        <f>COUNTIFS(STUDENTDATA!$A:$A, SUBJECTWISE11_12!$R$2, STUDENTDATA!$F:$F, "OBC", STUDENTDATA!$J:$J, "I")</f>
        <v>0</v>
      </c>
      <c r="M8" s="52">
        <f>COUNTIFS(STUDENTDATA!$A:$A, SUBJECTWISE11_12!$R$2, STUDENTDATA!$F:$F, "OBC", STUDENTDATA!$J:$J, "II")</f>
        <v>0</v>
      </c>
      <c r="N8" s="52">
        <f>COUNTIFS(STUDENTDATA!$A:$A, SUBJECTWISE11_12!$R$2, STUDENTDATA!$F:$F, "OBC", STUDENTDATA!$J:$J, "III")</f>
        <v>0</v>
      </c>
      <c r="O8" s="52">
        <f>L8+M8+N8</f>
        <v>0</v>
      </c>
      <c r="P8" s="52">
        <f>COUNTIFS(STUDENTDATA!$A:$A, SUBJECTWISE11_12!$R$2, STUDENTDATA!$F:$F, "OBC", STUDENTDATA!$J:$J, "अनुत्तीर्ण")</f>
        <v>0</v>
      </c>
      <c r="Q8" s="52">
        <f>COUNTIFS(STUDENTDATA!$A:$A, SUBJECTWISE11_12!$R$2, STUDENTDATA!$F:$F, "SBC", STUDENTDATA!$J:$J, "I")</f>
        <v>0</v>
      </c>
      <c r="R8" s="52">
        <f>COUNTIFS(STUDENTDATA!$A:$A, SUBJECTWISE11_12!$R$2, STUDENTDATA!$F:$F, "SBC", STUDENTDATA!$J:$J, "II")</f>
        <v>0</v>
      </c>
      <c r="S8" s="52">
        <f>COUNTIFS(STUDENTDATA!$A:$A, SUBJECTWISE11_12!$R$2, STUDENTDATA!$F:$F, "SBC", STUDENTDATA!$J:$J, "III")</f>
        <v>0</v>
      </c>
      <c r="T8" s="52">
        <f>Q8+R8+S8</f>
        <v>0</v>
      </c>
      <c r="U8" s="52">
        <f>COUNTIFS(STUDENTDATA!$A:$A, SUBJECTWISE11_12!$R$2, STUDENTDATA!$F:$F, "SBC", STUDENTDATA!$J:$J, "अनुत्तीर्ण")</f>
        <v>0</v>
      </c>
      <c r="V8" s="52">
        <f>COUNTIFS(STUDENTDATA!$A:$A, SUBJECTWISE11_12!$R$2, STUDENTDATA!$F:$F, "GEN", STUDENTDATA!$J:$J, "I")</f>
        <v>0</v>
      </c>
      <c r="W8" s="52">
        <f>COUNTIFS(STUDENTDATA!$A:$A, SUBJECTWISE11_12!$R$2, STUDENTDATA!$F:$F, "GEN", STUDENTDATA!$J:$J, "II")</f>
        <v>0</v>
      </c>
      <c r="X8" s="52">
        <f>COUNTIFS(STUDENTDATA!$A:$A, SUBJECTWISE11_12!$R$2, STUDENTDATA!$F:$F, "GEN", STUDENTDATA!$J:$J, "III")</f>
        <v>0</v>
      </c>
      <c r="Y8" s="52">
        <f>V8+W8+X8</f>
        <v>0</v>
      </c>
      <c r="Z8" s="52">
        <f>COUNTIFS(STUDENTDATA!$A:$A, SUBJECTWISE11_12!$R$2, STUDENTDATA!$F:$F, "GEN", STUDENTDATA!$J:$J, "अनुत्तीर्ण")</f>
        <v>0</v>
      </c>
      <c r="AA8" s="52">
        <f>COUNTIFS(STUDENTDATA!$A:$A, SUBJECTWISE11_12!$R$2, STUDENTDATA!$F:$F, "MIN", STUDENTDATA!$J:$J, "I")</f>
        <v>0</v>
      </c>
      <c r="AB8" s="52">
        <f>COUNTIFS(STUDENTDATA!$A:$A, SUBJECTWISE11_12!$R$2, STUDENTDATA!$F:$F, "MIN", STUDENTDATA!$J:$J, "II")</f>
        <v>0</v>
      </c>
      <c r="AC8" s="52">
        <f>COUNTIFS(STUDENTDATA!$A:$A, SUBJECTWISE11_12!$R$2, STUDENTDATA!$F:$F, "MIN", STUDENTDATA!$J:$J, "III")</f>
        <v>0</v>
      </c>
      <c r="AD8" s="52">
        <f>AA8+AB8+AC8</f>
        <v>0</v>
      </c>
      <c r="AE8" s="52">
        <f>COUNTIFS(STUDENTDATA!$A:$A, SUBJECTWISE11_12!$R$2, STUDENTDATA!$F:$F, "MIN", STUDENTDATA!$J:$J, "अनुत्तीर्ण")</f>
        <v>0</v>
      </c>
      <c r="AF8" s="56">
        <f>B8+G8+L8+Q8+V8+AA8</f>
        <v>0</v>
      </c>
      <c r="AG8" s="56">
        <f t="shared" ref="AG8:AH8" si="1">C8+H8+M8+R8+W8+AB8</f>
        <v>0</v>
      </c>
      <c r="AH8" s="56">
        <f t="shared" si="1"/>
        <v>0</v>
      </c>
      <c r="AI8" s="56">
        <f>AF8+AG8+AH8</f>
        <v>0</v>
      </c>
      <c r="AJ8" s="52">
        <f>COUNTIFS(STUDENTDATA!$A:$A, SUBJECTWISE11_12!$R$2, STUDENTDATA!$J:$J, "अनुत्तीर्ण")</f>
        <v>0</v>
      </c>
      <c r="AK8" s="52">
        <f>COUNTIFS(STUDENTDATA!$A:$A, SUBJECTWISE11_12!$R$2, STUDENTDATA!$J:$J, "अनुपस्थित")</f>
        <v>0</v>
      </c>
    </row>
    <row r="9" spans="1:54" ht="34.5" customHeight="1" x14ac:dyDescent="0.25">
      <c r="A9" s="143"/>
      <c r="B9" s="137" t="str">
        <f ca="1">IF(LIFAFA2!$E$6=0, "", TEXT(E8/LIFAFA2!$E$6, "0.00%"))</f>
        <v/>
      </c>
      <c r="C9" s="138"/>
      <c r="D9" s="138"/>
      <c r="E9" s="138"/>
      <c r="F9" s="139"/>
      <c r="G9" s="137" t="str">
        <f ca="1">IF(LIFAFA2!$H$6=0, "", TEXT(J8/LIFAFA2!$H$6, "0.00%"))</f>
        <v/>
      </c>
      <c r="H9" s="138"/>
      <c r="I9" s="138"/>
      <c r="J9" s="138"/>
      <c r="K9" s="139"/>
      <c r="L9" s="137" t="str">
        <f ca="1">IF(LIFAFA2!$K$6=0, "", TEXT(O8/LIFAFA2!$K$6, "0.00%"))</f>
        <v/>
      </c>
      <c r="M9" s="138"/>
      <c r="N9" s="138"/>
      <c r="O9" s="138"/>
      <c r="P9" s="139"/>
      <c r="Q9" s="137" t="str">
        <f ca="1">IF(LIFAFA2!$N$6=0, "", TEXT(T8/LIFAFA2!$N$6, "0.00%"))</f>
        <v/>
      </c>
      <c r="R9" s="138"/>
      <c r="S9" s="138"/>
      <c r="T9" s="138"/>
      <c r="U9" s="139"/>
      <c r="V9" s="137" t="str">
        <f ca="1">IF(LIFAFA2!$Q$6=0, "", TEXT(Y8/LIFAFA2!$Q$6, "0.00%"))</f>
        <v/>
      </c>
      <c r="W9" s="138"/>
      <c r="X9" s="138"/>
      <c r="Y9" s="138"/>
      <c r="Z9" s="139"/>
      <c r="AA9" s="137" t="str">
        <f ca="1">IF(LIFAFA2!$T$6=0, "", TEXT(AD8/LIFAFA2!$T$6, "0.00%"))</f>
        <v/>
      </c>
      <c r="AB9" s="138"/>
      <c r="AC9" s="138"/>
      <c r="AD9" s="138"/>
      <c r="AE9" s="139"/>
      <c r="AF9" s="140" t="str">
        <f ca="1">IF(LIFAFA2!$W$6=0, "", TEXT(AI8/LIFAFA2!$W$6, "0.00%"))</f>
        <v/>
      </c>
      <c r="AG9" s="141"/>
      <c r="AH9" s="141"/>
      <c r="AI9" s="141"/>
      <c r="AJ9" s="141"/>
      <c r="AK9" s="142"/>
    </row>
    <row r="10" spans="1:54" ht="34.5" customHeight="1" x14ac:dyDescent="0.25">
      <c r="A10" s="143" t="str">
        <f>STUDENTDATA!O1</f>
        <v xml:space="preserve">हिन्दी साहित्य </v>
      </c>
      <c r="B10" s="52">
        <f>COUNTIFS(STUDENTDATA!$A:$A, SUBJECTWISE11_12!$R$2, STUDENTDATA!$F:$F, "SC", STUDENTDATA!$O:$O, "I")</f>
        <v>0</v>
      </c>
      <c r="C10" s="52">
        <f>COUNTIFS(STUDENTDATA!$A:$A, SUBJECTWISE11_12!$R$2, STUDENTDATA!$F:$F, "SC", STUDENTDATA!$O:$O, "II")</f>
        <v>0</v>
      </c>
      <c r="D10" s="52">
        <f>COUNTIFS(STUDENTDATA!$A:$A, SUBJECTWISE11_12!$R$2, STUDENTDATA!$F:$F, "SC", STUDENTDATA!$O:$O, "III")</f>
        <v>0</v>
      </c>
      <c r="E10" s="52">
        <f>B10+C10+D10</f>
        <v>0</v>
      </c>
      <c r="F10" s="52">
        <f>COUNTIFS(STUDENTDATA!$A:$A, SUBJECTWISE11_12!$R$2, STUDENTDATA!$F:$F, "SC", STUDENTDATA!$O:$O, "अनुत्तीर्ण")</f>
        <v>0</v>
      </c>
      <c r="G10" s="52">
        <f>COUNTIFS(STUDENTDATA!$A:$A, SUBJECTWISE11_12!$R$2, STUDENTDATA!$F:$F, "ST", STUDENTDATA!$O:$O, "I")</f>
        <v>0</v>
      </c>
      <c r="H10" s="52">
        <f>COUNTIFS(STUDENTDATA!$A:$A, SUBJECTWISE11_12!$R$2, STUDENTDATA!$F:$F, "ST", STUDENTDATA!$O:$O, "II")</f>
        <v>0</v>
      </c>
      <c r="I10" s="52">
        <f>COUNTIFS(STUDENTDATA!$A:$A, SUBJECTWISE11_12!$R$2, STUDENTDATA!$F:$F, "ST", STUDENTDATA!$O:$O, "III")</f>
        <v>0</v>
      </c>
      <c r="J10" s="52">
        <f>G10+H10+I10</f>
        <v>0</v>
      </c>
      <c r="K10" s="52">
        <f>COUNTIFS(STUDENTDATA!$A:$A, SUBJECTWISE11_12!$R$2, STUDENTDATA!$F:$F, "ST", STUDENTDATA!$O:$O, "अनुत्तीर्ण")</f>
        <v>0</v>
      </c>
      <c r="L10" s="52">
        <f>COUNTIFS(STUDENTDATA!$A:$A, SUBJECTWISE11_12!$R$2, STUDENTDATA!$F:$F, "OBC", STUDENTDATA!$O:$O, "I")</f>
        <v>0</v>
      </c>
      <c r="M10" s="52">
        <f>COUNTIFS(STUDENTDATA!$A:$A, SUBJECTWISE11_12!$R$2, STUDENTDATA!$F:$F, "OBC", STUDENTDATA!$O:$O, "II")</f>
        <v>0</v>
      </c>
      <c r="N10" s="52">
        <f>COUNTIFS(STUDENTDATA!$A:$A, SUBJECTWISE11_12!$R$2, STUDENTDATA!$F:$F, "OBC", STUDENTDATA!$O:$O, "III")</f>
        <v>0</v>
      </c>
      <c r="O10" s="52">
        <f>L10+M10+N10</f>
        <v>0</v>
      </c>
      <c r="P10" s="52">
        <f>COUNTIFS(STUDENTDATA!$A:$A, SUBJECTWISE11_12!$R$2, STUDENTDATA!$F:$F, "OBC", STUDENTDATA!$O:$O, "अनुत्तीर्ण")</f>
        <v>0</v>
      </c>
      <c r="Q10" s="52">
        <f>COUNTIFS(STUDENTDATA!$A:$A, SUBJECTWISE11_12!$R$2, STUDENTDATA!$F:$F, "SBC", STUDENTDATA!$O:$O, "I")</f>
        <v>0</v>
      </c>
      <c r="R10" s="52">
        <f>COUNTIFS(STUDENTDATA!$A:$A, SUBJECTWISE11_12!$R$2, STUDENTDATA!$F:$F, "SBC", STUDENTDATA!$O:$O, "II")</f>
        <v>0</v>
      </c>
      <c r="S10" s="52">
        <f>COUNTIFS(STUDENTDATA!$A:$A, SUBJECTWISE11_12!$R$2, STUDENTDATA!$F:$F, "SBC", STUDENTDATA!$O:$O, "III")</f>
        <v>0</v>
      </c>
      <c r="T10" s="52">
        <f>Q10+R10+S10</f>
        <v>0</v>
      </c>
      <c r="U10" s="52">
        <f>COUNTIFS(STUDENTDATA!$A:$A, SUBJECTWISE11_12!$R$2, STUDENTDATA!$F:$F, "SBC", STUDENTDATA!$O:$O, "अनुत्तीर्ण")</f>
        <v>0</v>
      </c>
      <c r="V10" s="52">
        <f>COUNTIFS(STUDENTDATA!$A:$A, SUBJECTWISE11_12!$R$2, STUDENTDATA!$F:$F, "GEN", STUDENTDATA!$O:$O, "I")</f>
        <v>0</v>
      </c>
      <c r="W10" s="52">
        <f>COUNTIFS(STUDENTDATA!$A:$A, SUBJECTWISE11_12!$R$2, STUDENTDATA!$F:$F, "GEN", STUDENTDATA!$O:$O, "II")</f>
        <v>0</v>
      </c>
      <c r="X10" s="52">
        <f>COUNTIFS(STUDENTDATA!$A:$A, SUBJECTWISE11_12!$R$2, STUDENTDATA!$F:$F, "GEN", STUDENTDATA!$O:$O, "III")</f>
        <v>0</v>
      </c>
      <c r="Y10" s="52">
        <f>V10+W10+X10</f>
        <v>0</v>
      </c>
      <c r="Z10" s="52">
        <f>COUNTIFS(STUDENTDATA!$A:$A, SUBJECTWISE11_12!$R$2, STUDENTDATA!$F:$F, "GEN", STUDENTDATA!$O:$O, "अनुत्तीर्ण")</f>
        <v>0</v>
      </c>
      <c r="AA10" s="52">
        <f>COUNTIFS(STUDENTDATA!$A:$A, SUBJECTWISE11_12!$R$2, STUDENTDATA!$F:$F, "MIN", STUDENTDATA!$O:$O, "I")</f>
        <v>0</v>
      </c>
      <c r="AB10" s="52">
        <f>COUNTIFS(STUDENTDATA!$A:$A, SUBJECTWISE11_12!$R$2, STUDENTDATA!$F:$F, "MIN", STUDENTDATA!$O:$O, "II")</f>
        <v>0</v>
      </c>
      <c r="AC10" s="52">
        <f>COUNTIFS(STUDENTDATA!$A:$A, SUBJECTWISE11_12!$R$2, STUDENTDATA!$F:$F, "MIN", STUDENTDATA!$O:$O, "III")</f>
        <v>0</v>
      </c>
      <c r="AD10" s="52">
        <f>AA10+AB10+AC10</f>
        <v>0</v>
      </c>
      <c r="AE10" s="52">
        <f>COUNTIFS(STUDENTDATA!$A:$A, SUBJECTWISE11_12!$R$2, STUDENTDATA!$F:$F, "MIN", STUDENTDATA!$O:$O, "अनुत्तीर्ण")</f>
        <v>0</v>
      </c>
      <c r="AF10" s="56">
        <f>B10+G10+L10+Q10+V10+AA10</f>
        <v>0</v>
      </c>
      <c r="AG10" s="56">
        <f t="shared" ref="AG10:AH10" si="2">C10+H10+M10+R10+W10+AB10</f>
        <v>0</v>
      </c>
      <c r="AH10" s="56">
        <f t="shared" si="2"/>
        <v>0</v>
      </c>
      <c r="AI10" s="56">
        <f>AF10+AG10+AH10</f>
        <v>0</v>
      </c>
      <c r="AJ10" s="52">
        <f>COUNTIFS(STUDENTDATA!$A:$A, SUBJECTWISE11_12!$R$2, STUDENTDATA!$O:$O, "अनुत्तीर्ण")</f>
        <v>0</v>
      </c>
      <c r="AK10" s="52">
        <f>COUNTIFS(STUDENTDATA!$A:$A, SUBJECTWISE11_12!$R$2, STUDENTDATA!$O:$O, "अनुपस्थित")</f>
        <v>0</v>
      </c>
    </row>
    <row r="11" spans="1:54" ht="34.5" customHeight="1" x14ac:dyDescent="0.25">
      <c r="A11" s="143"/>
      <c r="B11" s="137" t="str">
        <f ca="1">IF(LIFAFA2!$E$6=0, "", TEXT(E10/LIFAFA2!$E$6, "0.00%"))</f>
        <v/>
      </c>
      <c r="C11" s="138"/>
      <c r="D11" s="138"/>
      <c r="E11" s="138"/>
      <c r="F11" s="139"/>
      <c r="G11" s="137" t="str">
        <f ca="1">IF(LIFAFA2!$H$6=0, "", TEXT(J10/LIFAFA2!$H$6, "0.00%"))</f>
        <v/>
      </c>
      <c r="H11" s="138"/>
      <c r="I11" s="138"/>
      <c r="J11" s="138"/>
      <c r="K11" s="139"/>
      <c r="L11" s="137" t="str">
        <f ca="1">IF(LIFAFA2!$K$6=0, "", TEXT(O10/LIFAFA2!$K$6, "0.00%"))</f>
        <v/>
      </c>
      <c r="M11" s="138"/>
      <c r="N11" s="138"/>
      <c r="O11" s="138"/>
      <c r="P11" s="139"/>
      <c r="Q11" s="137" t="str">
        <f ca="1">IF(LIFAFA2!$N$6=0, "", TEXT(T10/LIFAFA2!$N$6, "0.00%"))</f>
        <v/>
      </c>
      <c r="R11" s="138"/>
      <c r="S11" s="138"/>
      <c r="T11" s="138"/>
      <c r="U11" s="139"/>
      <c r="V11" s="137" t="str">
        <f ca="1">IF(LIFAFA2!$Q$6=0, "", TEXT(Y10/LIFAFA2!$Q$6, "0.00%"))</f>
        <v/>
      </c>
      <c r="W11" s="138"/>
      <c r="X11" s="138"/>
      <c r="Y11" s="138"/>
      <c r="Z11" s="139"/>
      <c r="AA11" s="137" t="str">
        <f ca="1">IF(LIFAFA2!$T$6=0, "", TEXT(AD10/LIFAFA2!$T$6, "0.00%"))</f>
        <v/>
      </c>
      <c r="AB11" s="138"/>
      <c r="AC11" s="138"/>
      <c r="AD11" s="138"/>
      <c r="AE11" s="139"/>
      <c r="AF11" s="140" t="str">
        <f ca="1">IF(LIFAFA2!$W$6=0, "", TEXT(AI10/LIFAFA2!$W$6, "0.00%"))</f>
        <v/>
      </c>
      <c r="AG11" s="141"/>
      <c r="AH11" s="141"/>
      <c r="AI11" s="141"/>
      <c r="AJ11" s="141"/>
      <c r="AK11" s="142"/>
      <c r="AL11" s="60"/>
    </row>
    <row r="12" spans="1:54" ht="34.5" customHeight="1" x14ac:dyDescent="0.25">
      <c r="A12" s="143" t="str">
        <f>STUDENTDATA!P1</f>
        <v xml:space="preserve">राजनीति विज्ञान </v>
      </c>
      <c r="B12" s="52">
        <f>COUNTIFS(STUDENTDATA!$A:$A, SUBJECTWISE11_12!$R$2, STUDENTDATA!$F:$F, "SC", STUDENTDATA!$P:$P, "I")</f>
        <v>0</v>
      </c>
      <c r="C12" s="52">
        <f>COUNTIFS(STUDENTDATA!$A:$A, SUBJECTWISE11_12!$R$2, STUDENTDATA!$F:$F, "SC", STUDENTDATA!$P:$P, "II")</f>
        <v>0</v>
      </c>
      <c r="D12" s="52">
        <f>COUNTIFS(STUDENTDATA!$A:$A, SUBJECTWISE11_12!$R$2, STUDENTDATA!$F:$F, "SC", STUDENTDATA!$P:$P, "III")</f>
        <v>0</v>
      </c>
      <c r="E12" s="52">
        <f>B12+C12+D12</f>
        <v>0</v>
      </c>
      <c r="F12" s="52">
        <f>COUNTIFS(STUDENTDATA!$A:$A, SUBJECTWISE11_12!$R$2, STUDENTDATA!$F:$F, "SC", STUDENTDATA!$P:$P, "अनुत्तीर्ण")</f>
        <v>0</v>
      </c>
      <c r="G12" s="52">
        <f>COUNTIFS(STUDENTDATA!$A:$A, SUBJECTWISE11_12!$R$2, STUDENTDATA!$F:$F, "ST", STUDENTDATA!$P:$P, "I")</f>
        <v>0</v>
      </c>
      <c r="H12" s="52">
        <f>COUNTIFS(STUDENTDATA!$A:$A, SUBJECTWISE11_12!$R$2, STUDENTDATA!$F:$F, "ST", STUDENTDATA!$P:$P, "II")</f>
        <v>0</v>
      </c>
      <c r="I12" s="52">
        <f>COUNTIFS(STUDENTDATA!$A:$A, SUBJECTWISE11_12!$R$2, STUDENTDATA!$F:$F, "ST", STUDENTDATA!$P:$P, "III")</f>
        <v>0</v>
      </c>
      <c r="J12" s="52">
        <f>G12+H12+I12</f>
        <v>0</v>
      </c>
      <c r="K12" s="52">
        <f>COUNTIFS(STUDENTDATA!$A:$A, SUBJECTWISE11_12!$R$2, STUDENTDATA!$F:$F, "ST", STUDENTDATA!$P:$P, "अनुत्तीर्ण")</f>
        <v>0</v>
      </c>
      <c r="L12" s="52">
        <f>COUNTIFS(STUDENTDATA!$A:$A, SUBJECTWISE11_12!$R$2, STUDENTDATA!$F:$F, "OBC", STUDENTDATA!$P:$P, "I")</f>
        <v>0</v>
      </c>
      <c r="M12" s="52">
        <f>COUNTIFS(STUDENTDATA!$A:$A, SUBJECTWISE11_12!$R$2, STUDENTDATA!$F:$F, "OBC", STUDENTDATA!$P:$P, "II")</f>
        <v>0</v>
      </c>
      <c r="N12" s="52">
        <f>COUNTIFS(STUDENTDATA!$A:$A, SUBJECTWISE11_12!$R$2, STUDENTDATA!$F:$F, "OBC", STUDENTDATA!$P:$P, "III")</f>
        <v>0</v>
      </c>
      <c r="O12" s="52">
        <f>L12+M12+N12</f>
        <v>0</v>
      </c>
      <c r="P12" s="52">
        <f>COUNTIFS(STUDENTDATA!$A:$A, SUBJECTWISE11_12!$R$2, STUDENTDATA!$F:$F, "OBC", STUDENTDATA!$P:$P, "अनुत्तीर्ण")</f>
        <v>0</v>
      </c>
      <c r="Q12" s="52">
        <f>COUNTIFS(STUDENTDATA!$A:$A, SUBJECTWISE11_12!$R$2, STUDENTDATA!$F:$F, "SBC", STUDENTDATA!$P:$P, "I")</f>
        <v>0</v>
      </c>
      <c r="R12" s="52">
        <f>COUNTIFS(STUDENTDATA!$A:$A, SUBJECTWISE11_12!$R$2, STUDENTDATA!$F:$F, "SBC", STUDENTDATA!$P:$P, "II")</f>
        <v>0</v>
      </c>
      <c r="S12" s="52">
        <f>COUNTIFS(STUDENTDATA!$A:$A, SUBJECTWISE11_12!$R$2, STUDENTDATA!$F:$F, "SBC", STUDENTDATA!$P:$P, "III")</f>
        <v>0</v>
      </c>
      <c r="T12" s="52">
        <f>Q12+R12+S12</f>
        <v>0</v>
      </c>
      <c r="U12" s="52">
        <f>COUNTIFS(STUDENTDATA!$A:$A, SUBJECTWISE11_12!$R$2, STUDENTDATA!$F:$F, "SBC", STUDENTDATA!$P:$P, "अनुत्तीर्ण")</f>
        <v>0</v>
      </c>
      <c r="V12" s="52">
        <f>COUNTIFS(STUDENTDATA!$A:$A, SUBJECTWISE11_12!$R$2, STUDENTDATA!$F:$F, "GEN", STUDENTDATA!$P:$P, "I")</f>
        <v>0</v>
      </c>
      <c r="W12" s="52">
        <f>COUNTIFS(STUDENTDATA!$A:$A, SUBJECTWISE11_12!$R$2, STUDENTDATA!$F:$F, "GEN", STUDENTDATA!$P:$P, "II")</f>
        <v>0</v>
      </c>
      <c r="X12" s="52">
        <f>COUNTIFS(STUDENTDATA!$A:$A, SUBJECTWISE11_12!$R$2, STUDENTDATA!$F:$F, "GEN", STUDENTDATA!$P:$P, "III")</f>
        <v>0</v>
      </c>
      <c r="Y12" s="52">
        <f>V12+W12+X12</f>
        <v>0</v>
      </c>
      <c r="Z12" s="52">
        <f>COUNTIFS(STUDENTDATA!$A:$A, SUBJECTWISE11_12!$R$2, STUDENTDATA!$F:$F, "GEN", STUDENTDATA!$P:$P, "अनुत्तीर्ण")</f>
        <v>0</v>
      </c>
      <c r="AA12" s="52">
        <f>COUNTIFS(STUDENTDATA!$A:$A, SUBJECTWISE11_12!$R$2, STUDENTDATA!$F:$F, "MIN", STUDENTDATA!$P:$P, "I")</f>
        <v>0</v>
      </c>
      <c r="AB12" s="52">
        <f>COUNTIFS(STUDENTDATA!$A:$A, SUBJECTWISE11_12!$R$2, STUDENTDATA!$F:$F, "MIN", STUDENTDATA!$P:$P, "II")</f>
        <v>0</v>
      </c>
      <c r="AC12" s="52">
        <f>COUNTIFS(STUDENTDATA!$A:$A, SUBJECTWISE11_12!$R$2, STUDENTDATA!$F:$F, "MIN", STUDENTDATA!$P:$P, "III")</f>
        <v>0</v>
      </c>
      <c r="AD12" s="52">
        <f>AA12+AB12+AC12</f>
        <v>0</v>
      </c>
      <c r="AE12" s="52">
        <f>COUNTIFS(STUDENTDATA!$A:$A, SUBJECTWISE11_12!$R$2, STUDENTDATA!$F:$F, "MIN", STUDENTDATA!$P:$P, "अनुत्तीर्ण")</f>
        <v>0</v>
      </c>
      <c r="AF12" s="56">
        <f>B12+G12+L12+Q12+V12+AA12</f>
        <v>0</v>
      </c>
      <c r="AG12" s="56">
        <f t="shared" ref="AG12:AH12" si="3">C12+H12+M12+R12+W12+AB12</f>
        <v>0</v>
      </c>
      <c r="AH12" s="56">
        <f t="shared" si="3"/>
        <v>0</v>
      </c>
      <c r="AI12" s="56">
        <f>AF12+AG12+AH12</f>
        <v>0</v>
      </c>
      <c r="AJ12" s="52">
        <f>COUNTIFS(STUDENTDATA!$A:$A, SUBJECTWISE11_12!$R$2, STUDENTDATA!$P:$P, "अनुत्तीर्ण")</f>
        <v>0</v>
      </c>
      <c r="AK12" s="52">
        <f>COUNTIFS(STUDENTDATA!$A:$A, SUBJECTWISE11_12!$R$2, STUDENTDATA!$P:$P, "अनुपस्थित")</f>
        <v>0</v>
      </c>
    </row>
    <row r="13" spans="1:54" ht="34.5" customHeight="1" x14ac:dyDescent="0.25">
      <c r="A13" s="143"/>
      <c r="B13" s="137" t="str">
        <f ca="1">IF(LIFAFA2!$E$6=0, "", TEXT(E12/LIFAFA2!$E$6, "0.00%"))</f>
        <v/>
      </c>
      <c r="C13" s="138"/>
      <c r="D13" s="138"/>
      <c r="E13" s="138"/>
      <c r="F13" s="139"/>
      <c r="G13" s="137" t="str">
        <f ca="1">IF(LIFAFA2!$H$6=0, "", TEXT(J12/LIFAFA2!$H$6, "0.00%"))</f>
        <v/>
      </c>
      <c r="H13" s="138"/>
      <c r="I13" s="138"/>
      <c r="J13" s="138"/>
      <c r="K13" s="139"/>
      <c r="L13" s="137" t="str">
        <f ca="1">IF(LIFAFA2!$K$6=0, "", TEXT(O12/LIFAFA2!$K$6, "0.00%"))</f>
        <v/>
      </c>
      <c r="M13" s="138"/>
      <c r="N13" s="138"/>
      <c r="O13" s="138"/>
      <c r="P13" s="139"/>
      <c r="Q13" s="137" t="str">
        <f ca="1">IF(LIFAFA2!$N$6=0, "", TEXT(T12/LIFAFA2!$N$6, "0.00%"))</f>
        <v/>
      </c>
      <c r="R13" s="138"/>
      <c r="S13" s="138"/>
      <c r="T13" s="138"/>
      <c r="U13" s="139"/>
      <c r="V13" s="137" t="str">
        <f ca="1">IF(LIFAFA2!$Q$6=0, "", TEXT(Y12/LIFAFA2!$Q$6, "0.00%"))</f>
        <v/>
      </c>
      <c r="W13" s="138"/>
      <c r="X13" s="138"/>
      <c r="Y13" s="138"/>
      <c r="Z13" s="139"/>
      <c r="AA13" s="137" t="str">
        <f ca="1">IF(LIFAFA2!$T$6=0, "", TEXT(AD12/LIFAFA2!$T$6, "0.00%"))</f>
        <v/>
      </c>
      <c r="AB13" s="138"/>
      <c r="AC13" s="138"/>
      <c r="AD13" s="138"/>
      <c r="AE13" s="139"/>
      <c r="AF13" s="140" t="str">
        <f ca="1">IF(LIFAFA2!$W$6=0, "", TEXT(AI12/LIFAFA2!$W$6, "0.00%"))</f>
        <v/>
      </c>
      <c r="AG13" s="141"/>
      <c r="AH13" s="141"/>
      <c r="AI13" s="141"/>
      <c r="AJ13" s="141"/>
      <c r="AK13" s="142"/>
    </row>
    <row r="14" spans="1:54" ht="34.5" customHeight="1" x14ac:dyDescent="0.25">
      <c r="A14" s="143" t="str">
        <f>STUDENTDATA!Q1</f>
        <v>भूगोल</v>
      </c>
      <c r="B14" s="52">
        <f>COUNTIFS(STUDENTDATA!$A:$A, SUBJECTWISE11_12!$R$2, STUDENTDATA!$F:$F, "SC", STUDENTDATA!$Q:$Q, "I")</f>
        <v>0</v>
      </c>
      <c r="C14" s="52">
        <f>COUNTIFS(STUDENTDATA!$A:$A, SUBJECTWISE11_12!$R$2, STUDENTDATA!$F:$F, "SC", STUDENTDATA!$Q:$Q, "II")</f>
        <v>0</v>
      </c>
      <c r="D14" s="52">
        <f>COUNTIFS(STUDENTDATA!$A:$A, SUBJECTWISE11_12!$R$2, STUDENTDATA!$F:$F, "SC", STUDENTDATA!$Q:$Q, "III")</f>
        <v>0</v>
      </c>
      <c r="E14" s="52">
        <f>B14+C14+D14</f>
        <v>0</v>
      </c>
      <c r="F14" s="52">
        <f>COUNTIFS(STUDENTDATA!$A:$A, SUBJECTWISE11_12!$R$2, STUDENTDATA!$F:$F, "SC", STUDENTDATA!$Q:$Q, "अनुत्तीर्ण")</f>
        <v>0</v>
      </c>
      <c r="G14" s="52">
        <f>COUNTIFS(STUDENTDATA!$A:$A, SUBJECTWISE11_12!$R$2, STUDENTDATA!$F:$F, "ST", STUDENTDATA!$Q:$Q, "I")</f>
        <v>0</v>
      </c>
      <c r="H14" s="52">
        <f>COUNTIFS(STUDENTDATA!$A:$A, SUBJECTWISE11_12!$R$2, STUDENTDATA!$F:$F, "ST", STUDENTDATA!$Q:$Q, "II")</f>
        <v>0</v>
      </c>
      <c r="I14" s="52">
        <f>COUNTIFS(STUDENTDATA!$A:$A, SUBJECTWISE11_12!$R$2, STUDENTDATA!$F:$F, "ST", STUDENTDATA!$Q:$Q, "III")</f>
        <v>0</v>
      </c>
      <c r="J14" s="52">
        <f>G14+H14+I14</f>
        <v>0</v>
      </c>
      <c r="K14" s="52">
        <f>COUNTIFS(STUDENTDATA!$A:$A, SUBJECTWISE11_12!$R$2, STUDENTDATA!$F:$F, "ST", STUDENTDATA!$Q:$Q, "अनुत्तीर्ण")</f>
        <v>0</v>
      </c>
      <c r="L14" s="52">
        <f>COUNTIFS(STUDENTDATA!$A:$A, SUBJECTWISE11_12!$R$2, STUDENTDATA!$F:$F, "OBC", STUDENTDATA!$Q:$Q, "I")</f>
        <v>0</v>
      </c>
      <c r="M14" s="52">
        <f>COUNTIFS(STUDENTDATA!$A:$A, SUBJECTWISE11_12!$R$2, STUDENTDATA!$F:$F, "OBC", STUDENTDATA!$Q:$Q, "II")</f>
        <v>0</v>
      </c>
      <c r="N14" s="52">
        <f>COUNTIFS(STUDENTDATA!$A:$A, SUBJECTWISE11_12!$R$2, STUDENTDATA!$F:$F, "OBC", STUDENTDATA!$Q:$Q, "III")</f>
        <v>0</v>
      </c>
      <c r="O14" s="52">
        <f>L14+M14+N14</f>
        <v>0</v>
      </c>
      <c r="P14" s="52">
        <f>COUNTIFS(STUDENTDATA!$A:$A, SUBJECTWISE11_12!$R$2, STUDENTDATA!$F:$F, "OBC", STUDENTDATA!$Q:$Q, "अनुत्तीर्ण")</f>
        <v>0</v>
      </c>
      <c r="Q14" s="52">
        <f>COUNTIFS(STUDENTDATA!$A:$A, SUBJECTWISE11_12!$R$2, STUDENTDATA!$F:$F, "SBC", STUDENTDATA!$Q:$Q, "I")</f>
        <v>0</v>
      </c>
      <c r="R14" s="52">
        <f>COUNTIFS(STUDENTDATA!$A:$A, SUBJECTWISE11_12!$R$2, STUDENTDATA!$F:$F, "SBC", STUDENTDATA!$Q:$Q, "II")</f>
        <v>0</v>
      </c>
      <c r="S14" s="52">
        <f>COUNTIFS(STUDENTDATA!$A:$A, SUBJECTWISE11_12!$R$2, STUDENTDATA!$F:$F, "SBC", STUDENTDATA!$Q:$Q, "III")</f>
        <v>0</v>
      </c>
      <c r="T14" s="52">
        <f>Q14+R14+S14</f>
        <v>0</v>
      </c>
      <c r="U14" s="52">
        <f>COUNTIFS(STUDENTDATA!$A:$A, SUBJECTWISE11_12!$R$2, STUDENTDATA!$F:$F, "SBC", STUDENTDATA!$Q:$Q, "अनुत्तीर्ण")</f>
        <v>0</v>
      </c>
      <c r="V14" s="52">
        <f>COUNTIFS(STUDENTDATA!$A:$A, SUBJECTWISE11_12!$R$2, STUDENTDATA!$F:$F, "GEN", STUDENTDATA!$Q:$Q, "I")</f>
        <v>0</v>
      </c>
      <c r="W14" s="52">
        <f>COUNTIFS(STUDENTDATA!$A:$A, SUBJECTWISE11_12!$R$2, STUDENTDATA!$F:$F, "GEN", STUDENTDATA!$Q:$Q, "II")</f>
        <v>0</v>
      </c>
      <c r="X14" s="52">
        <f>COUNTIFS(STUDENTDATA!$A:$A, SUBJECTWISE11_12!$R$2, STUDENTDATA!$F:$F, "GEN", STUDENTDATA!$Q:$Q, "III")</f>
        <v>0</v>
      </c>
      <c r="Y14" s="52">
        <f>V14+W14+X14</f>
        <v>0</v>
      </c>
      <c r="Z14" s="52">
        <f>COUNTIFS(STUDENTDATA!$A:$A, SUBJECTWISE11_12!$R$2, STUDENTDATA!$F:$F, "GEN", STUDENTDATA!$Q:$Q, "अनुत्तीर्ण")</f>
        <v>0</v>
      </c>
      <c r="AA14" s="52">
        <f>COUNTIFS(STUDENTDATA!$A:$A, SUBJECTWISE11_12!$R$2, STUDENTDATA!$F:$F, "MIN", STUDENTDATA!$Q:$Q, "I")</f>
        <v>0</v>
      </c>
      <c r="AB14" s="52">
        <f>COUNTIFS(STUDENTDATA!$A:$A, SUBJECTWISE11_12!$R$2, STUDENTDATA!$F:$F, "MIN", STUDENTDATA!$Q:$Q, "II")</f>
        <v>0</v>
      </c>
      <c r="AC14" s="52">
        <f>COUNTIFS(STUDENTDATA!$A:$A, SUBJECTWISE11_12!$R$2, STUDENTDATA!$F:$F, "MIN", STUDENTDATA!$Q:$Q, "III")</f>
        <v>0</v>
      </c>
      <c r="AD14" s="52">
        <f>AA14+AB14+AC14</f>
        <v>0</v>
      </c>
      <c r="AE14" s="52">
        <f>COUNTIFS(STUDENTDATA!$A:$A, SUBJECTWISE11_12!$R$2, STUDENTDATA!$F:$F, "MIN", STUDENTDATA!$Q:$Q, "अनुत्तीर्ण")</f>
        <v>0</v>
      </c>
      <c r="AF14" s="56">
        <f>B14+G14+L14+Q14+V14+AA14</f>
        <v>0</v>
      </c>
      <c r="AG14" s="56">
        <f t="shared" ref="AG14:AH14" si="4">C14+H14+M14+R14+W14+AB14</f>
        <v>0</v>
      </c>
      <c r="AH14" s="56">
        <f t="shared" si="4"/>
        <v>0</v>
      </c>
      <c r="AI14" s="56">
        <f>AF14+AG14+AH14</f>
        <v>0</v>
      </c>
      <c r="AJ14" s="52">
        <f>COUNTIFS(STUDENTDATA!$A:$A, SUBJECTWISE11_12!$R$2, STUDENTDATA!$Q:$Q, "अनुत्तीर्ण")</f>
        <v>0</v>
      </c>
      <c r="AK14" s="52">
        <f>COUNTIFS(STUDENTDATA!$A:$A, SUBJECTWISE11_12!$R$2, STUDENTDATA!$Q:$Q, "अनुपस्थित")</f>
        <v>0</v>
      </c>
    </row>
    <row r="15" spans="1:54" ht="34.5" customHeight="1" x14ac:dyDescent="0.25">
      <c r="A15" s="143"/>
      <c r="B15" s="137" t="str">
        <f ca="1">IF(LIFAFA2!$E$6=0, "", TEXT(E14/LIFAFA2!$E$6, "0.00%"))</f>
        <v/>
      </c>
      <c r="C15" s="138"/>
      <c r="D15" s="138"/>
      <c r="E15" s="138"/>
      <c r="F15" s="139"/>
      <c r="G15" s="137" t="str">
        <f ca="1">IF(LIFAFA2!$H$6=0, "", TEXT(J14/LIFAFA2!$H$6, "0.00%"))</f>
        <v/>
      </c>
      <c r="H15" s="138"/>
      <c r="I15" s="138"/>
      <c r="J15" s="138"/>
      <c r="K15" s="139"/>
      <c r="L15" s="137" t="str">
        <f ca="1">IF(LIFAFA2!$K$6=0, "", TEXT(O14/LIFAFA2!$K$6, "0.00%"))</f>
        <v/>
      </c>
      <c r="M15" s="138"/>
      <c r="N15" s="138"/>
      <c r="O15" s="138"/>
      <c r="P15" s="139"/>
      <c r="Q15" s="137" t="str">
        <f ca="1">IF(LIFAFA2!$N$6=0, "", TEXT(T14/LIFAFA2!$N$6, "0.00%"))</f>
        <v/>
      </c>
      <c r="R15" s="138"/>
      <c r="S15" s="138"/>
      <c r="T15" s="138"/>
      <c r="U15" s="139"/>
      <c r="V15" s="137" t="str">
        <f ca="1">IF(LIFAFA2!$Q$6=0, "", TEXT(Y14/LIFAFA2!$Q$6, "0.00%"))</f>
        <v/>
      </c>
      <c r="W15" s="138"/>
      <c r="X15" s="138"/>
      <c r="Y15" s="138"/>
      <c r="Z15" s="139"/>
      <c r="AA15" s="137" t="str">
        <f ca="1">IF(LIFAFA2!$T$6=0, "", TEXT(AD14/LIFAFA2!$T$6, "0.00%"))</f>
        <v/>
      </c>
      <c r="AB15" s="138"/>
      <c r="AC15" s="138"/>
      <c r="AD15" s="138"/>
      <c r="AE15" s="139"/>
      <c r="AF15" s="140" t="str">
        <f ca="1">IF(LIFAFA2!$W$6=0, "", TEXT(AI14/LIFAFA2!$W$6, "0.00%"))</f>
        <v/>
      </c>
      <c r="AG15" s="141"/>
      <c r="AH15" s="141"/>
      <c r="AI15" s="141"/>
      <c r="AJ15" s="141"/>
      <c r="AK15" s="142"/>
    </row>
    <row r="16" spans="1:54" ht="34.5" customHeight="1" x14ac:dyDescent="0.25">
      <c r="A16" s="61" t="str" cm="1">
        <f t="array" ref="A16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7" spans="1:1" ht="34.5" customHeight="1" x14ac:dyDescent="0.25">
      <c r="A17" s="61" t="str" cm="1">
        <f t="array" ref="A17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8" spans="1:1" ht="18.75" x14ac:dyDescent="0.25">
      <c r="A18" s="61" t="str" cm="1">
        <f t="array" ref="A18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9" spans="1:1" ht="18.75" x14ac:dyDescent="0.25">
      <c r="A19" s="61" t="str" cm="1">
        <f t="array" ref="A19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20" spans="1:1" ht="18.75" x14ac:dyDescent="0.25">
      <c r="A20" s="61" t="str" cm="1">
        <f t="array" ref="A20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21" spans="1:1" ht="18.75" x14ac:dyDescent="0.25">
      <c r="A21" s="61" t="str" cm="1">
        <f t="array" ref="A21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22" spans="1:1" ht="18.75" x14ac:dyDescent="0.25">
      <c r="A22" s="61" t="str" cm="1">
        <f t="array" ref="A22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23" spans="1:1" ht="18.75" x14ac:dyDescent="0.25">
      <c r="A23" s="61" t="str" cm="1">
        <f t="array" ref="A23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24" spans="1:1" ht="18.75" x14ac:dyDescent="0.25">
      <c r="A24" s="61" t="str" cm="1">
        <f t="array" ref="A24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25" spans="1:1" ht="18.75" x14ac:dyDescent="0.25">
      <c r="A25" s="61" t="str" cm="1">
        <f t="array" ref="A25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26" spans="1:1" ht="18.75" x14ac:dyDescent="0.25">
      <c r="A26" s="61" t="str" cm="1">
        <f t="array" ref="A26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27" spans="1:1" ht="18.75" x14ac:dyDescent="0.25">
      <c r="A27" s="61" t="str" cm="1">
        <f t="array" ref="A27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28" spans="1:1" ht="18.75" x14ac:dyDescent="0.25">
      <c r="A28" s="61" t="str" cm="1">
        <f t="array" ref="A28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29" spans="1:1" ht="18.75" x14ac:dyDescent="0.25">
      <c r="A29" s="61" t="str" cm="1">
        <f t="array" ref="A29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30" spans="1:1" ht="18.75" x14ac:dyDescent="0.25">
      <c r="A30" s="61" t="str" cm="1">
        <f t="array" ref="A30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31" spans="1:1" ht="18.75" x14ac:dyDescent="0.25">
      <c r="A31" s="61" t="str" cm="1">
        <f t="array" ref="A31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32" spans="1:1" ht="18.75" x14ac:dyDescent="0.25">
      <c r="A32" s="61" t="str" cm="1">
        <f t="array" ref="A32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33" spans="1:1" ht="18.75" x14ac:dyDescent="0.25">
      <c r="A33" s="61" t="str" cm="1">
        <f t="array" ref="A33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34" spans="1:1" ht="18.75" x14ac:dyDescent="0.25">
      <c r="A34" s="61" t="str" cm="1">
        <f t="array" ref="A34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35" spans="1:1" ht="18.75" x14ac:dyDescent="0.25">
      <c r="A35" s="61" t="str" cm="1">
        <f t="array" ref="A35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36" spans="1:1" ht="18.75" x14ac:dyDescent="0.25">
      <c r="A36" s="61" t="str" cm="1">
        <f t="array" ref="A36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37" spans="1:1" ht="18.75" x14ac:dyDescent="0.25">
      <c r="A37" s="61" t="str" cm="1">
        <f t="array" ref="A37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38" spans="1:1" ht="18.75" x14ac:dyDescent="0.25">
      <c r="A38" s="61" t="str" cm="1">
        <f t="array" ref="A38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39" spans="1:1" ht="18.75" x14ac:dyDescent="0.25">
      <c r="A39" s="61" t="str" cm="1">
        <f t="array" ref="A39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40" spans="1:1" ht="18.75" x14ac:dyDescent="0.25">
      <c r="A40" s="61" t="str" cm="1">
        <f t="array" ref="A40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41" spans="1:1" ht="18.75" x14ac:dyDescent="0.25">
      <c r="A41" s="61" t="str" cm="1">
        <f t="array" ref="A41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42" spans="1:1" ht="18.75" x14ac:dyDescent="0.25">
      <c r="A42" s="61" t="str" cm="1">
        <f t="array" ref="A42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43" spans="1:1" ht="18.75" x14ac:dyDescent="0.25">
      <c r="A43" s="61" t="str" cm="1">
        <f t="array" ref="A43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44" spans="1:1" ht="18.75" x14ac:dyDescent="0.25">
      <c r="A44" s="61" t="str" cm="1">
        <f t="array" ref="A44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45" spans="1:1" ht="18.75" x14ac:dyDescent="0.25">
      <c r="A45" s="61" t="str" cm="1">
        <f t="array" ref="A45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46" spans="1:1" ht="18.75" x14ac:dyDescent="0.25">
      <c r="A46" s="61" t="str" cm="1">
        <f t="array" ref="A46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47" spans="1:1" ht="18.75" x14ac:dyDescent="0.25">
      <c r="A47" s="61" t="str" cm="1">
        <f t="array" ref="A47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48" spans="1:1" ht="18.75" x14ac:dyDescent="0.25">
      <c r="A48" s="61" t="str" cm="1">
        <f t="array" ref="A48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49" spans="1:1" ht="18.75" x14ac:dyDescent="0.25">
      <c r="A49" s="61" t="str" cm="1">
        <f t="array" ref="A49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50" spans="1:1" ht="18.75" x14ac:dyDescent="0.25">
      <c r="A50" s="61" t="str" cm="1">
        <f t="array" ref="A50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51" spans="1:1" ht="18.75" x14ac:dyDescent="0.25">
      <c r="A51" s="61" t="str" cm="1">
        <f t="array" ref="A51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52" spans="1:1" ht="18.75" x14ac:dyDescent="0.25">
      <c r="A52" s="61" t="str" cm="1">
        <f t="array" ref="A52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53" spans="1:1" ht="18.75" x14ac:dyDescent="0.25">
      <c r="A53" s="61" t="str" cm="1">
        <f t="array" ref="A53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54" spans="1:1" ht="18.75" x14ac:dyDescent="0.25">
      <c r="A54" s="61" t="str" cm="1">
        <f t="array" ref="A54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55" spans="1:1" ht="18.75" x14ac:dyDescent="0.25">
      <c r="A55" s="61" t="str" cm="1">
        <f t="array" ref="A55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56" spans="1:1" ht="18.75" x14ac:dyDescent="0.25">
      <c r="A56" s="61" t="str" cm="1">
        <f t="array" ref="A56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57" spans="1:1" ht="18.75" x14ac:dyDescent="0.25">
      <c r="A57" s="61" t="str" cm="1">
        <f t="array" ref="A57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58" spans="1:1" ht="18.75" x14ac:dyDescent="0.25">
      <c r="A58" s="61" t="str" cm="1">
        <f t="array" ref="A58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59" spans="1:1" ht="18.75" x14ac:dyDescent="0.25">
      <c r="A59" s="61" t="str" cm="1">
        <f t="array" ref="A59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60" spans="1:1" ht="18.75" x14ac:dyDescent="0.25">
      <c r="A60" s="61" t="str" cm="1">
        <f t="array" ref="A60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61" spans="1:1" ht="18.75" x14ac:dyDescent="0.25">
      <c r="A61" s="61" t="str" cm="1">
        <f t="array" ref="A61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62" spans="1:1" ht="18.75" x14ac:dyDescent="0.25">
      <c r="A62" s="61" t="str" cm="1">
        <f t="array" ref="A62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63" spans="1:1" ht="18.75" x14ac:dyDescent="0.25">
      <c r="A63" s="61" t="str" cm="1">
        <f t="array" ref="A63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64" spans="1:1" ht="18.75" x14ac:dyDescent="0.25">
      <c r="A64" s="61" t="str" cm="1">
        <f t="array" ref="A64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65" spans="1:1" ht="18.75" x14ac:dyDescent="0.25">
      <c r="A65" s="61" t="str" cm="1">
        <f t="array" ref="A65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66" spans="1:1" ht="18.75" x14ac:dyDescent="0.25">
      <c r="A66" s="61" t="str" cm="1">
        <f t="array" ref="A66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67" spans="1:1" ht="18.75" x14ac:dyDescent="0.25">
      <c r="A67" s="61" t="str" cm="1">
        <f t="array" ref="A67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68" spans="1:1" ht="18.75" x14ac:dyDescent="0.25">
      <c r="A68" s="61" t="str" cm="1">
        <f t="array" ref="A68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69" spans="1:1" ht="18.75" x14ac:dyDescent="0.25">
      <c r="A69" s="61" t="str" cm="1">
        <f t="array" ref="A69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70" spans="1:1" ht="18.75" x14ac:dyDescent="0.25">
      <c r="A70" s="61" t="str" cm="1">
        <f t="array" ref="A70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71" spans="1:1" ht="18.75" x14ac:dyDescent="0.25">
      <c r="A71" s="61" t="str" cm="1">
        <f t="array" ref="A71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72" spans="1:1" ht="18.75" x14ac:dyDescent="0.25">
      <c r="A72" s="61" t="str" cm="1">
        <f t="array" ref="A72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73" spans="1:1" ht="18.75" x14ac:dyDescent="0.25">
      <c r="A73" s="61" t="str" cm="1">
        <f t="array" ref="A73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74" spans="1:1" ht="18.75" x14ac:dyDescent="0.25">
      <c r="A74" s="61" t="str" cm="1">
        <f t="array" ref="A74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75" spans="1:1" ht="18.75" x14ac:dyDescent="0.25">
      <c r="A75" s="61" t="str" cm="1">
        <f t="array" ref="A75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76" spans="1:1" ht="18.75" x14ac:dyDescent="0.25">
      <c r="A76" s="61" t="str" cm="1">
        <f t="array" ref="A76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77" spans="1:1" ht="18.75" x14ac:dyDescent="0.25">
      <c r="A77" s="61" t="str" cm="1">
        <f t="array" ref="A77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78" spans="1:1" ht="18.75" x14ac:dyDescent="0.25">
      <c r="A78" s="61" t="str" cm="1">
        <f t="array" ref="A78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79" spans="1:1" ht="18.75" x14ac:dyDescent="0.25">
      <c r="A79" s="61" t="str" cm="1">
        <f t="array" ref="A79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80" spans="1:1" ht="18.75" x14ac:dyDescent="0.25">
      <c r="A80" s="61" t="str" cm="1">
        <f t="array" ref="A80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81" spans="1:1" ht="18.75" x14ac:dyDescent="0.25">
      <c r="A81" s="61" t="str" cm="1">
        <f t="array" ref="A81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82" spans="1:1" ht="18.75" x14ac:dyDescent="0.25">
      <c r="A82" s="61" t="str" cm="1">
        <f t="array" ref="A82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83" spans="1:1" ht="18.75" x14ac:dyDescent="0.25">
      <c r="A83" s="61" t="str" cm="1">
        <f t="array" ref="A83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84" spans="1:1" ht="18.75" x14ac:dyDescent="0.25">
      <c r="A84" s="61" t="str" cm="1">
        <f t="array" ref="A84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85" spans="1:1" ht="18.75" x14ac:dyDescent="0.25">
      <c r="A85" s="61" t="str" cm="1">
        <f t="array" ref="A85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86" spans="1:1" ht="18.75" x14ac:dyDescent="0.25">
      <c r="A86" s="61" t="str" cm="1">
        <f t="array" ref="A86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87" spans="1:1" ht="18.75" x14ac:dyDescent="0.25">
      <c r="A87" s="61" t="str" cm="1">
        <f t="array" ref="A87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88" spans="1:1" ht="18.75" x14ac:dyDescent="0.25">
      <c r="A88" s="61" t="str" cm="1">
        <f t="array" ref="A88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89" spans="1:1" ht="18.75" x14ac:dyDescent="0.25">
      <c r="A89" s="61" t="str" cm="1">
        <f t="array" ref="A89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90" spans="1:1" ht="18.75" x14ac:dyDescent="0.25">
      <c r="A90" s="61" t="str" cm="1">
        <f t="array" ref="A90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91" spans="1:1" ht="18.75" x14ac:dyDescent="0.25">
      <c r="A91" s="61" t="str" cm="1">
        <f t="array" ref="A91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92" spans="1:1" ht="18.75" x14ac:dyDescent="0.25">
      <c r="A92" s="61" t="str" cm="1">
        <f t="array" ref="A92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93" spans="1:1" ht="18.75" x14ac:dyDescent="0.25">
      <c r="A93" s="61" t="str" cm="1">
        <f t="array" ref="A93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94" spans="1:1" ht="18.75" x14ac:dyDescent="0.25">
      <c r="A94" s="61" t="str" cm="1">
        <f t="array" ref="A94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95" spans="1:1" ht="18.75" x14ac:dyDescent="0.25">
      <c r="A95" s="61" t="str" cm="1">
        <f t="array" ref="A95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96" spans="1:1" ht="18.75" x14ac:dyDescent="0.25">
      <c r="A96" s="61" t="str" cm="1">
        <f t="array" ref="A96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97" spans="1:1" ht="18.75" x14ac:dyDescent="0.25">
      <c r="A97" s="61" t="str" cm="1">
        <f t="array" ref="A97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98" spans="1:1" ht="18.75" x14ac:dyDescent="0.25">
      <c r="A98" s="61" t="str" cm="1">
        <f t="array" ref="A98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99" spans="1:1" ht="18.75" x14ac:dyDescent="0.25">
      <c r="A99" s="61" t="str" cm="1">
        <f t="array" ref="A99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00" spans="1:1" ht="18.75" x14ac:dyDescent="0.25">
      <c r="A100" s="61" t="str" cm="1">
        <f t="array" ref="A100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01" spans="1:1" ht="18.75" x14ac:dyDescent="0.25">
      <c r="A101" s="61" t="str" cm="1">
        <f t="array" ref="A101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02" spans="1:1" ht="18.75" x14ac:dyDescent="0.25">
      <c r="A102" s="61" t="str" cm="1">
        <f t="array" ref="A102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03" spans="1:1" ht="18.75" x14ac:dyDescent="0.25">
      <c r="A103" s="61" t="str" cm="1">
        <f t="array" ref="A103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04" spans="1:1" ht="18.75" x14ac:dyDescent="0.25">
      <c r="A104" s="61" t="str" cm="1">
        <f t="array" ref="A104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05" spans="1:1" ht="18.75" x14ac:dyDescent="0.25">
      <c r="A105" s="61" t="str" cm="1">
        <f t="array" ref="A105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06" spans="1:1" ht="18.75" x14ac:dyDescent="0.25">
      <c r="A106" s="61" t="str" cm="1">
        <f t="array" ref="A106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07" spans="1:1" ht="18.75" x14ac:dyDescent="0.25">
      <c r="A107" s="61" t="str" cm="1">
        <f t="array" ref="A107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08" spans="1:1" ht="18.75" x14ac:dyDescent="0.25">
      <c r="A108" s="61" t="str" cm="1">
        <f t="array" ref="A108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09" spans="1:1" ht="18.75" x14ac:dyDescent="0.25">
      <c r="A109" s="61" t="str" cm="1">
        <f t="array" ref="A109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10" spans="1:1" ht="18.75" x14ac:dyDescent="0.25">
      <c r="A110" s="61" t="str" cm="1">
        <f t="array" ref="A110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11" spans="1:1" ht="18.75" x14ac:dyDescent="0.25">
      <c r="A111" s="61" t="str" cm="1">
        <f t="array" ref="A111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12" spans="1:1" ht="18.75" x14ac:dyDescent="0.25">
      <c r="A112" s="61" t="str" cm="1">
        <f t="array" ref="A112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13" spans="1:1" ht="18.75" x14ac:dyDescent="0.25">
      <c r="A113" s="61" t="str" cm="1">
        <f t="array" ref="A113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14" spans="1:1" ht="18.75" x14ac:dyDescent="0.25">
      <c r="A114" s="61" t="str" cm="1">
        <f t="array" ref="A114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15" spans="1:1" ht="18.75" x14ac:dyDescent="0.25">
      <c r="A115" s="61" t="str" cm="1">
        <f t="array" ref="A115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16" spans="1:1" ht="18.75" x14ac:dyDescent="0.25">
      <c r="A116" s="61" t="str" cm="1">
        <f t="array" ref="A116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17" spans="1:1" ht="18.75" x14ac:dyDescent="0.25">
      <c r="A117" s="61" t="str" cm="1">
        <f t="array" ref="A117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18" spans="1:1" ht="18.75" x14ac:dyDescent="0.25">
      <c r="A118" s="61" t="str" cm="1">
        <f t="array" ref="A118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19" spans="1:1" ht="18.75" x14ac:dyDescent="0.25">
      <c r="A119" s="61" t="str" cm="1">
        <f t="array" ref="A119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20" spans="1:1" ht="18.75" x14ac:dyDescent="0.25">
      <c r="A120" s="61" t="str" cm="1">
        <f t="array" ref="A120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21" spans="1:1" ht="18.75" x14ac:dyDescent="0.25">
      <c r="A121" s="61" t="str" cm="1">
        <f t="array" ref="A121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22" spans="1:1" ht="18.75" x14ac:dyDescent="0.25">
      <c r="A122" s="61" t="str" cm="1">
        <f t="array" ref="A122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23" spans="1:1" ht="18.75" x14ac:dyDescent="0.25">
      <c r="A123" s="61" t="str" cm="1">
        <f t="array" ref="A123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24" spans="1:1" ht="18.75" x14ac:dyDescent="0.25">
      <c r="A124" s="61" t="str" cm="1">
        <f t="array" ref="A124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25" spans="1:1" ht="18.75" x14ac:dyDescent="0.25">
      <c r="A125" s="61" t="str" cm="1">
        <f t="array" ref="A125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26" spans="1:1" ht="18.75" x14ac:dyDescent="0.25">
      <c r="A126" s="61" t="str" cm="1">
        <f t="array" ref="A126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27" spans="1:1" ht="18.75" x14ac:dyDescent="0.25">
      <c r="A127" s="61" t="str" cm="1">
        <f t="array" ref="A127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28" spans="1:1" ht="18.75" x14ac:dyDescent="0.25">
      <c r="A128" s="61" t="str" cm="1">
        <f t="array" ref="A128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29" spans="1:1" ht="18.75" x14ac:dyDescent="0.25">
      <c r="A129" s="61" t="str" cm="1">
        <f t="array" ref="A129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30" spans="1:1" ht="18.75" x14ac:dyDescent="0.25">
      <c r="A130" s="61" t="str" cm="1">
        <f t="array" ref="A130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31" spans="1:1" ht="18.75" x14ac:dyDescent="0.25">
      <c r="A131" s="61" t="str" cm="1">
        <f t="array" ref="A131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32" spans="1:1" ht="18.75" x14ac:dyDescent="0.25">
      <c r="A132" s="61" t="str" cm="1">
        <f t="array" ref="A132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33" spans="1:1" ht="18.75" x14ac:dyDescent="0.25">
      <c r="A133" s="61" t="str" cm="1">
        <f t="array" ref="A133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34" spans="1:1" ht="18.75" x14ac:dyDescent="0.25">
      <c r="A134" s="61" t="str" cm="1">
        <f t="array" ref="A134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35" spans="1:1" ht="18.75" x14ac:dyDescent="0.25">
      <c r="A135" s="61" t="str" cm="1">
        <f t="array" ref="A135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36" spans="1:1" ht="18.75" x14ac:dyDescent="0.25">
      <c r="A136" s="61" t="str" cm="1">
        <f t="array" ref="A136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37" spans="1:1" ht="18.75" x14ac:dyDescent="0.25">
      <c r="A137" s="61" t="str" cm="1">
        <f t="array" ref="A137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38" spans="1:1" ht="18.75" x14ac:dyDescent="0.25">
      <c r="A138" s="61" t="str" cm="1">
        <f t="array" ref="A138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39" spans="1:1" ht="18.75" x14ac:dyDescent="0.25">
      <c r="A139" s="61" t="str" cm="1">
        <f t="array" ref="A139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40" spans="1:1" ht="18.75" x14ac:dyDescent="0.25">
      <c r="A140" s="61" t="str" cm="1">
        <f t="array" ref="A140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41" spans="1:1" ht="18.75" x14ac:dyDescent="0.25">
      <c r="A141" s="61" t="str" cm="1">
        <f t="array" ref="A141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42" spans="1:1" ht="18.75" x14ac:dyDescent="0.25">
      <c r="A142" s="61" t="str" cm="1">
        <f t="array" ref="A142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43" spans="1:1" ht="18.75" x14ac:dyDescent="0.25">
      <c r="A143" s="61" t="str" cm="1">
        <f t="array" ref="A143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44" spans="1:1" ht="18.75" x14ac:dyDescent="0.25">
      <c r="A144" s="61" t="str" cm="1">
        <f t="array" ref="A144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45" spans="1:1" ht="18.75" x14ac:dyDescent="0.25">
      <c r="A145" s="61" t="str" cm="1">
        <f t="array" ref="A145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46" spans="1:1" ht="18.75" x14ac:dyDescent="0.25">
      <c r="A146" s="61" t="str" cm="1">
        <f t="array" ref="A146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47" spans="1:1" ht="18.75" x14ac:dyDescent="0.25">
      <c r="A147" s="61" t="str" cm="1">
        <f t="array" ref="A147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48" spans="1:1" ht="18.75" x14ac:dyDescent="0.25">
      <c r="A148" s="61" t="str" cm="1">
        <f t="array" ref="A148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49" spans="1:1" ht="18.75" x14ac:dyDescent="0.25">
      <c r="A149" s="61" t="str" cm="1">
        <f t="array" ref="A149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50" spans="1:1" ht="18.75" x14ac:dyDescent="0.25">
      <c r="A150" s="61" t="str" cm="1">
        <f t="array" ref="A150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51" spans="1:1" ht="18.75" x14ac:dyDescent="0.25">
      <c r="A151" s="61" t="str" cm="1">
        <f t="array" ref="A151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52" spans="1:1" ht="18.75" x14ac:dyDescent="0.25">
      <c r="A152" s="61" t="str" cm="1">
        <f t="array" ref="A152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53" spans="1:1" ht="18.75" x14ac:dyDescent="0.25">
      <c r="A153" s="61" t="str" cm="1">
        <f t="array" ref="A153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54" spans="1:1" ht="18.75" x14ac:dyDescent="0.25">
      <c r="A154" s="61" t="str" cm="1">
        <f t="array" ref="A154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55" spans="1:1" ht="18.75" x14ac:dyDescent="0.25">
      <c r="A155" s="61" t="str" cm="1">
        <f t="array" ref="A155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56" spans="1:1" ht="18.75" x14ac:dyDescent="0.25">
      <c r="A156" s="61" t="str" cm="1">
        <f t="array" ref="A156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57" spans="1:1" ht="18.75" x14ac:dyDescent="0.25">
      <c r="A157" s="61" t="str" cm="1">
        <f t="array" ref="A157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58" spans="1:1" ht="18.75" x14ac:dyDescent="0.25">
      <c r="A158" s="61" t="str" cm="1">
        <f t="array" ref="A158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59" spans="1:1" ht="18.75" x14ac:dyDescent="0.25">
      <c r="A159" s="61" t="str" cm="1">
        <f t="array" ref="A159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60" spans="1:1" ht="18.75" x14ac:dyDescent="0.25">
      <c r="A160" s="61" t="str" cm="1">
        <f t="array" ref="A160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61" spans="1:1" ht="18.75" x14ac:dyDescent="0.25">
      <c r="A161" s="61" t="str" cm="1">
        <f t="array" ref="A161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62" spans="1:1" ht="18.75" x14ac:dyDescent="0.25">
      <c r="A162" s="61" t="str" cm="1">
        <f t="array" ref="A162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63" spans="1:1" ht="18.75" x14ac:dyDescent="0.25">
      <c r="A163" s="61" t="str" cm="1">
        <f t="array" ref="A163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64" spans="1:1" ht="18.75" x14ac:dyDescent="0.25">
      <c r="A164" s="61" t="str" cm="1">
        <f t="array" ref="A164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65" spans="1:1" ht="18.75" x14ac:dyDescent="0.25">
      <c r="A165" s="61" t="str" cm="1">
        <f t="array" ref="A165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66" spans="1:1" ht="18.75" x14ac:dyDescent="0.25">
      <c r="A166" s="61" t="str" cm="1">
        <f t="array" ref="A166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67" spans="1:1" ht="18.75" x14ac:dyDescent="0.25">
      <c r="A167" s="61" t="str" cm="1">
        <f t="array" ref="A167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68" spans="1:1" ht="18.75" x14ac:dyDescent="0.25">
      <c r="A168" s="61" t="str" cm="1">
        <f t="array" ref="A168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69" spans="1:1" ht="18.75" x14ac:dyDescent="0.25">
      <c r="A169" s="61" t="str" cm="1">
        <f t="array" ref="A169">IF(OR($R$2=9,$R$2=10),
   IF(INDEX(SUBJECTWISE9_10!BA:BA, ROW()-5)="", "", INDEX(SUBJECTWISE9_10!BA:BA, ROW()-5)),
   IF(OR($R$2=11,$R$2=12),
      IF(INDEX(SUBJECTWISE9_10!BB:BB, ROW()-5)="", "", INDEX(SUBJECTWISE9_10!BB:BB, ROW()-5)),
   "")
)</f>
        <v/>
      </c>
    </row>
    <row r="170" spans="1:1" x14ac:dyDescent="0.25">
      <c r="A170" s="40"/>
    </row>
    <row r="171" spans="1:1" x14ac:dyDescent="0.25">
      <c r="A171" s="40"/>
    </row>
    <row r="172" spans="1:1" x14ac:dyDescent="0.25">
      <c r="A172" s="40"/>
    </row>
    <row r="173" spans="1:1" x14ac:dyDescent="0.25">
      <c r="A173" s="40"/>
    </row>
    <row r="174" spans="1:1" x14ac:dyDescent="0.25">
      <c r="A174" s="40"/>
    </row>
    <row r="175" spans="1:1" x14ac:dyDescent="0.25">
      <c r="A175" s="40"/>
    </row>
    <row r="176" spans="1:1" x14ac:dyDescent="0.25">
      <c r="A176" s="40"/>
    </row>
    <row r="177" spans="1:1" x14ac:dyDescent="0.25">
      <c r="A177" s="40"/>
    </row>
    <row r="178" spans="1:1" x14ac:dyDescent="0.25">
      <c r="A178" s="40"/>
    </row>
    <row r="179" spans="1:1" x14ac:dyDescent="0.25">
      <c r="A179" s="40"/>
    </row>
    <row r="180" spans="1:1" x14ac:dyDescent="0.25">
      <c r="A180" s="40"/>
    </row>
    <row r="181" spans="1:1" x14ac:dyDescent="0.25">
      <c r="A181" s="40"/>
    </row>
    <row r="182" spans="1:1" x14ac:dyDescent="0.25">
      <c r="A182" s="40"/>
    </row>
    <row r="183" spans="1:1" x14ac:dyDescent="0.25">
      <c r="A183" s="40"/>
    </row>
    <row r="184" spans="1:1" x14ac:dyDescent="0.25">
      <c r="A184" s="40"/>
    </row>
    <row r="185" spans="1:1" x14ac:dyDescent="0.25">
      <c r="A185" s="40"/>
    </row>
    <row r="186" spans="1:1" x14ac:dyDescent="0.25">
      <c r="A186" s="40"/>
    </row>
    <row r="187" spans="1:1" x14ac:dyDescent="0.25">
      <c r="A187" s="40"/>
    </row>
    <row r="188" spans="1:1" x14ac:dyDescent="0.25">
      <c r="A188" s="40"/>
    </row>
    <row r="189" spans="1:1" x14ac:dyDescent="0.25">
      <c r="A189" s="40"/>
    </row>
    <row r="190" spans="1:1" x14ac:dyDescent="0.25">
      <c r="A190" s="40"/>
    </row>
    <row r="191" spans="1:1" x14ac:dyDescent="0.25">
      <c r="A191" s="40"/>
    </row>
    <row r="192" spans="1:1" x14ac:dyDescent="0.25">
      <c r="A192" s="40"/>
    </row>
    <row r="193" spans="1:1" x14ac:dyDescent="0.25">
      <c r="A193" s="40"/>
    </row>
    <row r="194" spans="1:1" x14ac:dyDescent="0.25">
      <c r="A194" s="40"/>
    </row>
    <row r="195" spans="1:1" x14ac:dyDescent="0.25">
      <c r="A195" s="40"/>
    </row>
    <row r="196" spans="1:1" x14ac:dyDescent="0.25">
      <c r="A196" s="40"/>
    </row>
    <row r="197" spans="1:1" x14ac:dyDescent="0.25">
      <c r="A197" s="40"/>
    </row>
    <row r="198" spans="1:1" x14ac:dyDescent="0.25">
      <c r="A198" s="40"/>
    </row>
    <row r="199" spans="1:1" x14ac:dyDescent="0.25">
      <c r="A199" s="40"/>
    </row>
    <row r="200" spans="1:1" x14ac:dyDescent="0.25">
      <c r="A200" s="40"/>
    </row>
    <row r="201" spans="1:1" x14ac:dyDescent="0.25">
      <c r="A201" s="40"/>
    </row>
    <row r="202" spans="1:1" x14ac:dyDescent="0.25">
      <c r="A202" s="40"/>
    </row>
    <row r="203" spans="1:1" x14ac:dyDescent="0.25">
      <c r="A203" s="40"/>
    </row>
    <row r="204" spans="1:1" x14ac:dyDescent="0.25">
      <c r="A204" s="40"/>
    </row>
    <row r="205" spans="1:1" x14ac:dyDescent="0.25">
      <c r="A205" s="40"/>
    </row>
    <row r="206" spans="1:1" x14ac:dyDescent="0.25">
      <c r="A206" s="40"/>
    </row>
    <row r="207" spans="1:1" x14ac:dyDescent="0.25">
      <c r="A207" s="40"/>
    </row>
    <row r="208" spans="1:1" x14ac:dyDescent="0.25">
      <c r="A208" s="40"/>
    </row>
    <row r="209" spans="1:1" x14ac:dyDescent="0.25">
      <c r="A209" s="40"/>
    </row>
    <row r="210" spans="1:1" x14ac:dyDescent="0.25">
      <c r="A210" s="40"/>
    </row>
    <row r="211" spans="1:1" x14ac:dyDescent="0.25">
      <c r="A211" s="40"/>
    </row>
    <row r="212" spans="1:1" x14ac:dyDescent="0.25">
      <c r="A212" s="40"/>
    </row>
    <row r="213" spans="1:1" x14ac:dyDescent="0.25">
      <c r="A213" s="40"/>
    </row>
    <row r="214" spans="1:1" x14ac:dyDescent="0.25">
      <c r="A214" s="40"/>
    </row>
    <row r="215" spans="1:1" x14ac:dyDescent="0.25">
      <c r="A215" s="40"/>
    </row>
    <row r="216" spans="1:1" x14ac:dyDescent="0.25">
      <c r="A216" s="40"/>
    </row>
    <row r="217" spans="1:1" x14ac:dyDescent="0.25">
      <c r="A217" s="40"/>
    </row>
    <row r="218" spans="1:1" x14ac:dyDescent="0.25">
      <c r="A218" s="40"/>
    </row>
    <row r="219" spans="1:1" x14ac:dyDescent="0.25">
      <c r="A219" s="40"/>
    </row>
    <row r="220" spans="1:1" x14ac:dyDescent="0.25">
      <c r="A220" s="40"/>
    </row>
    <row r="221" spans="1:1" x14ac:dyDescent="0.25">
      <c r="A221" s="40"/>
    </row>
    <row r="222" spans="1:1" x14ac:dyDescent="0.25">
      <c r="A222" s="40"/>
    </row>
    <row r="223" spans="1:1" x14ac:dyDescent="0.25">
      <c r="A223" s="40"/>
    </row>
    <row r="224" spans="1:1" x14ac:dyDescent="0.25">
      <c r="A224" s="40"/>
    </row>
    <row r="225" spans="1:1" x14ac:dyDescent="0.25">
      <c r="A225" s="40"/>
    </row>
    <row r="226" spans="1:1" x14ac:dyDescent="0.25">
      <c r="A226" s="40"/>
    </row>
    <row r="227" spans="1:1" x14ac:dyDescent="0.25">
      <c r="A227" s="40"/>
    </row>
    <row r="228" spans="1:1" x14ac:dyDescent="0.25">
      <c r="A228" s="40"/>
    </row>
    <row r="229" spans="1:1" x14ac:dyDescent="0.25">
      <c r="A229" s="40"/>
    </row>
    <row r="230" spans="1:1" x14ac:dyDescent="0.25">
      <c r="A230" s="40"/>
    </row>
    <row r="231" spans="1:1" x14ac:dyDescent="0.25">
      <c r="A231" s="40"/>
    </row>
    <row r="232" spans="1:1" x14ac:dyDescent="0.25">
      <c r="A232" s="40"/>
    </row>
    <row r="233" spans="1:1" x14ac:dyDescent="0.25">
      <c r="A233" s="40"/>
    </row>
    <row r="234" spans="1:1" x14ac:dyDescent="0.25">
      <c r="A234" s="40"/>
    </row>
    <row r="235" spans="1:1" x14ac:dyDescent="0.25">
      <c r="A235" s="40"/>
    </row>
    <row r="236" spans="1:1" x14ac:dyDescent="0.25">
      <c r="A236" s="40"/>
    </row>
    <row r="237" spans="1:1" x14ac:dyDescent="0.25">
      <c r="A237" s="40"/>
    </row>
    <row r="238" spans="1:1" x14ac:dyDescent="0.25">
      <c r="A238" s="40"/>
    </row>
    <row r="239" spans="1:1" x14ac:dyDescent="0.25">
      <c r="A239" s="40"/>
    </row>
    <row r="240" spans="1:1" x14ac:dyDescent="0.25">
      <c r="A240" s="40"/>
    </row>
    <row r="241" spans="1:1" x14ac:dyDescent="0.25">
      <c r="A241" s="40"/>
    </row>
    <row r="242" spans="1:1" x14ac:dyDescent="0.25">
      <c r="A242" s="40"/>
    </row>
    <row r="243" spans="1:1" x14ac:dyDescent="0.25">
      <c r="A243" s="40"/>
    </row>
    <row r="244" spans="1:1" x14ac:dyDescent="0.25">
      <c r="A244" s="40"/>
    </row>
    <row r="245" spans="1:1" x14ac:dyDescent="0.25">
      <c r="A245" s="40"/>
    </row>
  </sheetData>
  <sheetProtection algorithmName="SHA-512" hashValue="gMYlm+0+9uz6FH5qNNJANHEsDvoKYoXg7gBQsOa5kbOcTuwEBtPAcPYxWVM8Oup5/AGLhlioVlYVibLi2hjsJw==" saltValue="ytY4T6+9XhO/1QlEdgL1Sg==" spinCount="100000" sheet="1" objects="1" scenarios="1"/>
  <mergeCells count="52">
    <mergeCell ref="AA15:AE15"/>
    <mergeCell ref="AF15:AK15"/>
    <mergeCell ref="A14:A15"/>
    <mergeCell ref="B15:F15"/>
    <mergeCell ref="G15:K15"/>
    <mergeCell ref="L15:P15"/>
    <mergeCell ref="Q15:U15"/>
    <mergeCell ref="V15:Z15"/>
    <mergeCell ref="AA11:AE11"/>
    <mergeCell ref="AF11:AK11"/>
    <mergeCell ref="A12:A13"/>
    <mergeCell ref="B13:F13"/>
    <mergeCell ref="G13:K13"/>
    <mergeCell ref="L13:P13"/>
    <mergeCell ref="Q13:U13"/>
    <mergeCell ref="V13:Z13"/>
    <mergeCell ref="AA13:AE13"/>
    <mergeCell ref="AF13:AK13"/>
    <mergeCell ref="A10:A11"/>
    <mergeCell ref="B11:F11"/>
    <mergeCell ref="G11:K11"/>
    <mergeCell ref="L11:P11"/>
    <mergeCell ref="Q11:U11"/>
    <mergeCell ref="V11:Z11"/>
    <mergeCell ref="V7:Z7"/>
    <mergeCell ref="AA7:AE7"/>
    <mergeCell ref="AF7:AK7"/>
    <mergeCell ref="A8:A9"/>
    <mergeCell ref="B9:F9"/>
    <mergeCell ref="G9:K9"/>
    <mergeCell ref="L9:P9"/>
    <mergeCell ref="Q9:U9"/>
    <mergeCell ref="V9:Z9"/>
    <mergeCell ref="AA9:AE9"/>
    <mergeCell ref="AF9:AK9"/>
    <mergeCell ref="A6:A7"/>
    <mergeCell ref="B7:F7"/>
    <mergeCell ref="G7:K7"/>
    <mergeCell ref="L7:P7"/>
    <mergeCell ref="Q7:U7"/>
    <mergeCell ref="A1:AK1"/>
    <mergeCell ref="A2:Q2"/>
    <mergeCell ref="R2:AK2"/>
    <mergeCell ref="A3:AE3"/>
    <mergeCell ref="AF3:AK4"/>
    <mergeCell ref="A4:A5"/>
    <mergeCell ref="B4:F4"/>
    <mergeCell ref="G4:K4"/>
    <mergeCell ref="L4:P4"/>
    <mergeCell ref="Q4:U4"/>
    <mergeCell ref="V4:Z4"/>
    <mergeCell ref="AA4:AE4"/>
  </mergeCells>
  <conditionalFormatting sqref="A18:XFD193 AL8:XFD10 AM11:XFD11 B16:XFD17 AL12:XFD15">
    <cfRule type="notContainsBlanks" dxfId="2" priority="2">
      <formula>LEN(TRIM(A8))&gt;0</formula>
    </cfRule>
  </conditionalFormatting>
  <conditionalFormatting sqref="B6:AK48">
    <cfRule type="cellIs" dxfId="1" priority="1" operator="equal">
      <formula>0</formula>
    </cfRule>
  </conditionalFormatting>
  <dataValidations count="1">
    <dataValidation type="list" allowBlank="1" showInputMessage="1" showErrorMessage="1" sqref="R2:AK2" xr:uid="{E49C2F23-0DE0-48A3-BA54-A7DCC3BA6412}">
      <formula1>"11,12"</formula1>
    </dataValidation>
  </dataValidations>
  <pageMargins left="0.25" right="0.25" top="0.75" bottom="0.75" header="0.3" footer="0.3"/>
  <pageSetup paperSize="9" scale="40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4A13E1-9B1B-4C3B-A1CA-1BA008E81826}">
  <sheetPr codeName="Sheet11">
    <pageSetUpPr fitToPage="1"/>
  </sheetPr>
  <dimension ref="A1:AQ53"/>
  <sheetViews>
    <sheetView showGridLines="0" showRowColHeaders="0" tabSelected="1" zoomScale="55" zoomScaleNormal="55" zoomScaleSheetLayoutView="45" workbookViewId="0">
      <selection activeCell="P38" sqref="P38:AQ38"/>
    </sheetView>
  </sheetViews>
  <sheetFormatPr defaultRowHeight="15" x14ac:dyDescent="0.25"/>
  <cols>
    <col min="1" max="1" width="27.85546875" style="28" bestFit="1" customWidth="1"/>
    <col min="2" max="16384" width="9.140625" style="28"/>
  </cols>
  <sheetData>
    <row r="1" spans="1:43" ht="44.25" customHeight="1" x14ac:dyDescent="0.25">
      <c r="A1" s="152" t="str">
        <f>LIFAFA2!A1</f>
        <v xml:space="preserve">राजकीय उच्च माध्यमिक विद्यालय ,मोराझड़ी (214242) श्रीनगर 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  <c r="S1" s="152"/>
      <c r="T1" s="152"/>
      <c r="U1" s="152"/>
      <c r="V1" s="152"/>
      <c r="W1" s="152"/>
      <c r="X1" s="152"/>
      <c r="Y1" s="152"/>
      <c r="Z1" s="152"/>
      <c r="AA1" s="152"/>
      <c r="AB1" s="152"/>
      <c r="AC1" s="152"/>
      <c r="AD1" s="152"/>
      <c r="AE1" s="152"/>
      <c r="AF1" s="152"/>
      <c r="AG1" s="152"/>
      <c r="AH1" s="152"/>
      <c r="AI1" s="152"/>
      <c r="AJ1" s="152"/>
      <c r="AK1" s="152"/>
      <c r="AL1" s="152"/>
      <c r="AM1" s="152"/>
      <c r="AN1" s="152"/>
      <c r="AO1" s="152"/>
      <c r="AP1" s="152"/>
      <c r="AQ1" s="152"/>
    </row>
    <row r="2" spans="1:43" ht="29.25" customHeight="1" x14ac:dyDescent="0.25">
      <c r="A2" s="147" t="s">
        <v>1439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8">
        <v>6</v>
      </c>
      <c r="Q2" s="148"/>
      <c r="R2" s="148"/>
      <c r="S2" s="148"/>
      <c r="T2" s="148"/>
      <c r="U2" s="148"/>
      <c r="V2" s="148"/>
      <c r="W2" s="148"/>
      <c r="X2" s="148"/>
      <c r="Y2" s="148"/>
      <c r="Z2" s="148"/>
      <c r="AA2" s="148"/>
      <c r="AB2" s="148"/>
      <c r="AC2" s="148"/>
      <c r="AD2" s="148"/>
      <c r="AE2" s="148"/>
      <c r="AF2" s="148"/>
      <c r="AG2" s="148"/>
      <c r="AH2" s="148"/>
      <c r="AI2" s="148"/>
      <c r="AJ2" s="148"/>
      <c r="AK2" s="148"/>
      <c r="AL2" s="148"/>
      <c r="AM2" s="148"/>
      <c r="AN2" s="148"/>
      <c r="AO2" s="148"/>
      <c r="AP2" s="148"/>
      <c r="AQ2" s="148"/>
    </row>
    <row r="3" spans="1:43" ht="38.25" x14ac:dyDescent="0.25">
      <c r="A3" s="149" t="s">
        <v>1425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149"/>
      <c r="AB3" s="149"/>
      <c r="AC3" s="149"/>
      <c r="AD3" s="149"/>
      <c r="AE3" s="149"/>
      <c r="AF3" s="149"/>
      <c r="AG3" s="149"/>
      <c r="AH3" s="149"/>
      <c r="AI3" s="149"/>
      <c r="AJ3" s="149"/>
      <c r="AK3" s="149"/>
      <c r="AL3" s="149"/>
      <c r="AM3" s="149"/>
      <c r="AN3" s="149"/>
      <c r="AO3" s="149"/>
      <c r="AP3" s="149"/>
      <c r="AQ3" s="149"/>
    </row>
    <row r="4" spans="1:43" s="15" customFormat="1" ht="22.5" customHeight="1" x14ac:dyDescent="0.25">
      <c r="A4" s="150" t="s">
        <v>1426</v>
      </c>
      <c r="B4" s="82" t="s">
        <v>4</v>
      </c>
      <c r="C4" s="82"/>
      <c r="D4" s="82"/>
      <c r="E4" s="82"/>
      <c r="F4" s="82"/>
      <c r="G4" s="82"/>
      <c r="H4" s="82" t="s">
        <v>5</v>
      </c>
      <c r="I4" s="82"/>
      <c r="J4" s="82"/>
      <c r="K4" s="82"/>
      <c r="L4" s="82"/>
      <c r="M4" s="82"/>
      <c r="N4" s="82" t="s">
        <v>6</v>
      </c>
      <c r="O4" s="82"/>
      <c r="P4" s="82"/>
      <c r="Q4" s="82"/>
      <c r="R4" s="82"/>
      <c r="S4" s="82"/>
      <c r="T4" s="82" t="s">
        <v>7</v>
      </c>
      <c r="U4" s="82"/>
      <c r="V4" s="82"/>
      <c r="W4" s="82"/>
      <c r="X4" s="82"/>
      <c r="Y4" s="82"/>
      <c r="Z4" s="82" t="s">
        <v>8</v>
      </c>
      <c r="AA4" s="82"/>
      <c r="AB4" s="82"/>
      <c r="AC4" s="82"/>
      <c r="AD4" s="82"/>
      <c r="AE4" s="82"/>
      <c r="AF4" s="82" t="s">
        <v>9</v>
      </c>
      <c r="AG4" s="82"/>
      <c r="AH4" s="82"/>
      <c r="AI4" s="82"/>
      <c r="AJ4" s="82"/>
      <c r="AK4" s="82"/>
      <c r="AL4" s="82" t="s">
        <v>1435</v>
      </c>
      <c r="AM4" s="82"/>
      <c r="AN4" s="82"/>
      <c r="AO4" s="82"/>
      <c r="AP4" s="82"/>
      <c r="AQ4" s="82"/>
    </row>
    <row r="5" spans="1:43" ht="23.25" x14ac:dyDescent="0.25">
      <c r="A5" s="151"/>
      <c r="B5" s="51" t="s">
        <v>49</v>
      </c>
      <c r="C5" s="51" t="s">
        <v>10</v>
      </c>
      <c r="D5" s="51" t="s">
        <v>1376</v>
      </c>
      <c r="E5" s="51" t="s">
        <v>1377</v>
      </c>
      <c r="F5" s="51" t="s">
        <v>1378</v>
      </c>
      <c r="G5" s="25" t="s">
        <v>3</v>
      </c>
      <c r="H5" s="51" t="s">
        <v>49</v>
      </c>
      <c r="I5" s="51" t="s">
        <v>10</v>
      </c>
      <c r="J5" s="51" t="s">
        <v>1376</v>
      </c>
      <c r="K5" s="51" t="s">
        <v>1377</v>
      </c>
      <c r="L5" s="51" t="s">
        <v>1378</v>
      </c>
      <c r="M5" s="25" t="s">
        <v>3</v>
      </c>
      <c r="N5" s="51" t="s">
        <v>49</v>
      </c>
      <c r="O5" s="51" t="s">
        <v>10</v>
      </c>
      <c r="P5" s="51" t="s">
        <v>1376</v>
      </c>
      <c r="Q5" s="51" t="s">
        <v>1377</v>
      </c>
      <c r="R5" s="51" t="s">
        <v>1378</v>
      </c>
      <c r="S5" s="25" t="s">
        <v>3</v>
      </c>
      <c r="T5" s="51" t="s">
        <v>49</v>
      </c>
      <c r="U5" s="51" t="s">
        <v>10</v>
      </c>
      <c r="V5" s="51" t="s">
        <v>1376</v>
      </c>
      <c r="W5" s="51" t="s">
        <v>1377</v>
      </c>
      <c r="X5" s="51" t="s">
        <v>1378</v>
      </c>
      <c r="Y5" s="25" t="s">
        <v>3</v>
      </c>
      <c r="Z5" s="51" t="s">
        <v>49</v>
      </c>
      <c r="AA5" s="51" t="s">
        <v>10</v>
      </c>
      <c r="AB5" s="51" t="s">
        <v>1376</v>
      </c>
      <c r="AC5" s="51" t="s">
        <v>1377</v>
      </c>
      <c r="AD5" s="51" t="s">
        <v>1378</v>
      </c>
      <c r="AE5" s="25" t="s">
        <v>3</v>
      </c>
      <c r="AF5" s="51" t="s">
        <v>49</v>
      </c>
      <c r="AG5" s="51" t="s">
        <v>10</v>
      </c>
      <c r="AH5" s="51" t="s">
        <v>1376</v>
      </c>
      <c r="AI5" s="51" t="s">
        <v>1377</v>
      </c>
      <c r="AJ5" s="51" t="s">
        <v>1378</v>
      </c>
      <c r="AK5" s="25" t="s">
        <v>3</v>
      </c>
      <c r="AL5" s="18" t="s">
        <v>49</v>
      </c>
      <c r="AM5" s="18" t="s">
        <v>10</v>
      </c>
      <c r="AN5" s="18" t="s">
        <v>1376</v>
      </c>
      <c r="AO5" s="18" t="s">
        <v>1377</v>
      </c>
      <c r="AP5" s="18" t="s">
        <v>1378</v>
      </c>
      <c r="AQ5" s="26" t="s">
        <v>3</v>
      </c>
    </row>
    <row r="6" spans="1:43" ht="26.25" x14ac:dyDescent="0.25">
      <c r="A6" s="145" t="str">
        <f>STUDENTDATA!$I$1</f>
        <v>हिन्दी</v>
      </c>
      <c r="B6" s="53">
        <f>COUNTIFS(STUDENTDATA!$A:$A, "6", STUDENTDATA!$F:$F, "SC", STUDENTDATA!$I:$I, "A")</f>
        <v>0</v>
      </c>
      <c r="C6" s="53">
        <f>COUNTIFS(STUDENTDATA!$A:$A, "6", STUDENTDATA!$F:$F, "SC", STUDENTDATA!$I:$I, "B")</f>
        <v>0</v>
      </c>
      <c r="D6" s="53">
        <f>COUNTIFS(STUDENTDATA!$A:$A, "6", STUDENTDATA!$F:$F, "SC", STUDENTDATA!$I:$I, "C")</f>
        <v>0</v>
      </c>
      <c r="E6" s="53">
        <f>COUNTIFS(STUDENTDATA!$A:$A, "6", STUDENTDATA!$F:$F, "SC", STUDENTDATA!$I:$I, "D")</f>
        <v>0</v>
      </c>
      <c r="F6" s="53">
        <f>COUNTIFS(STUDENTDATA!$A:$A, "6", STUDENTDATA!$F:$F, "SC", STUDENTDATA!$I:$I, "E")</f>
        <v>0</v>
      </c>
      <c r="G6" s="53">
        <f>B6+C6+D6+E6+F6</f>
        <v>0</v>
      </c>
      <c r="H6" s="53">
        <f>COUNTIFS(STUDENTDATA!$A:$A, "6", STUDENTDATA!$F:$F, "ST", STUDENTDATA!$I:$I, "A")</f>
        <v>0</v>
      </c>
      <c r="I6" s="53">
        <f>COUNTIFS(STUDENTDATA!$A:$A, "6", STUDENTDATA!$F:$F, "ST", STUDENTDATA!$I:$I, "B")</f>
        <v>0</v>
      </c>
      <c r="J6" s="53">
        <f>COUNTIFS(STUDENTDATA!$A:$A, "6", STUDENTDATA!$F:$F, "ST", STUDENTDATA!$I:$I, "C")</f>
        <v>0</v>
      </c>
      <c r="K6" s="53">
        <f>COUNTIFS(STUDENTDATA!$A:$A, "6", STUDENTDATA!$F:$F, "ST", STUDENTDATA!$I:$I, "D")</f>
        <v>0</v>
      </c>
      <c r="L6" s="53">
        <f>COUNTIFS(STUDENTDATA!$A:$A, "6", STUDENTDATA!$F:$F, "ST", STUDENTDATA!$I:$I, "E")</f>
        <v>0</v>
      </c>
      <c r="M6" s="53">
        <f t="shared" ref="M6" si="0">H6+I6+J6+K6+L6</f>
        <v>0</v>
      </c>
      <c r="N6" s="53">
        <f>COUNTIFS(STUDENTDATA!$A:$A, "6", STUDENTDATA!$F:$F, "OBC", STUDENTDATA!$I:$I, "A")</f>
        <v>0</v>
      </c>
      <c r="O6" s="53">
        <f>COUNTIFS(STUDENTDATA!$A:$A, "6", STUDENTDATA!$F:$F, "OBC", STUDENTDATA!$I:$I, "B")</f>
        <v>0</v>
      </c>
      <c r="P6" s="53">
        <f>COUNTIFS(STUDENTDATA!$A:$A, "6", STUDENTDATA!$F:$F, "OBC", STUDENTDATA!$I:$I, "C")</f>
        <v>0</v>
      </c>
      <c r="Q6" s="53">
        <f>COUNTIFS(STUDENTDATA!$A:$A, "6", STUDENTDATA!$F:$F, "OBC", STUDENTDATA!$I:$I, "D")</f>
        <v>0</v>
      </c>
      <c r="R6" s="53">
        <f>COUNTIFS(STUDENTDATA!$A:$A, "6", STUDENTDATA!$F:$F, "OBC", STUDENTDATA!$I:$I, "E")</f>
        <v>0</v>
      </c>
      <c r="S6" s="53">
        <f t="shared" ref="S6" si="1">N6+O6+P6+Q6+R6</f>
        <v>0</v>
      </c>
      <c r="T6" s="53">
        <f>COUNTIFS(STUDENTDATA!$A:$A, "6", STUDENTDATA!$F:$F, "SBC", STUDENTDATA!$I:$I, "A")</f>
        <v>0</v>
      </c>
      <c r="U6" s="53">
        <f>COUNTIFS(STUDENTDATA!$A:$A, "6", STUDENTDATA!$F:$F, "SBC", STUDENTDATA!$I:$I, "B")</f>
        <v>0</v>
      </c>
      <c r="V6" s="53">
        <f>COUNTIFS(STUDENTDATA!$A:$A, "6", STUDENTDATA!$F:$F, "SBC", STUDENTDATA!$I:$I, "C")</f>
        <v>0</v>
      </c>
      <c r="W6" s="53">
        <f>COUNTIFS(STUDENTDATA!$A:$A, "6", STUDENTDATA!$F:$F, "SBC", STUDENTDATA!$I:$I, "D")</f>
        <v>0</v>
      </c>
      <c r="X6" s="53">
        <f>COUNTIFS(STUDENTDATA!$A:$A, "6", STUDENTDATA!$F:$F, "SBC", STUDENTDATA!$I:$I, "E")</f>
        <v>0</v>
      </c>
      <c r="Y6" s="53">
        <f t="shared" ref="Y6" si="2">T6+U6+V6+W6+X6</f>
        <v>0</v>
      </c>
      <c r="Z6" s="53">
        <f>COUNTIFS(STUDENTDATA!$A:$A, "6", STUDENTDATA!$F:$F, "GEN", STUDENTDATA!$I:$I, "A")</f>
        <v>0</v>
      </c>
      <c r="AA6" s="53">
        <f>COUNTIFS(STUDENTDATA!$A:$A, "6", STUDENTDATA!$F:$F, "GEN", STUDENTDATA!$I:$I, "B")</f>
        <v>0</v>
      </c>
      <c r="AB6" s="53">
        <f>COUNTIFS(STUDENTDATA!$A:$A, "6", STUDENTDATA!$F:$F, "GEN", STUDENTDATA!$I:$I, "C")</f>
        <v>0</v>
      </c>
      <c r="AC6" s="53">
        <f>COUNTIFS(STUDENTDATA!$A:$A, "6", STUDENTDATA!$F:$F, "GEN", STUDENTDATA!$I:$I, "D")</f>
        <v>0</v>
      </c>
      <c r="AD6" s="53">
        <f>COUNTIFS(STUDENTDATA!$A:$A, "6", STUDENTDATA!$F:$F, "GEN", STUDENTDATA!$I:$I, "E")</f>
        <v>0</v>
      </c>
      <c r="AE6" s="53">
        <f t="shared" ref="AE6" si="3">Z6+AA6+AB6+AC6+AD6</f>
        <v>0</v>
      </c>
      <c r="AF6" s="53">
        <f>COUNTIFS(STUDENTDATA!$A:$A, "6", STUDENTDATA!$F:$F, "MIN", STUDENTDATA!$I:$I, "A")</f>
        <v>0</v>
      </c>
      <c r="AG6" s="53">
        <f>COUNTIFS(STUDENTDATA!$A:$A, "6", STUDENTDATA!$F:$F, "MIN", STUDENTDATA!$I:$I, "B")</f>
        <v>0</v>
      </c>
      <c r="AH6" s="53">
        <f>COUNTIFS(STUDENTDATA!$A:$A, "6", STUDENTDATA!$F:$F, "MIN", STUDENTDATA!$I:$I, "C")</f>
        <v>0</v>
      </c>
      <c r="AI6" s="53">
        <f>COUNTIFS(STUDENTDATA!$A:$A, "6", STUDENTDATA!$F:$F, "MIN", STUDENTDATA!$I:$I, "D")</f>
        <v>0</v>
      </c>
      <c r="AJ6" s="53">
        <f>COUNTIFS(STUDENTDATA!$A:$A, "6", STUDENTDATA!$F:$F, "MIN", STUDENTDATA!$I:$I, "E")</f>
        <v>0</v>
      </c>
      <c r="AK6" s="53">
        <f t="shared" ref="AK6" si="4">AF6+AG6+AH6+AI6+AJ6</f>
        <v>0</v>
      </c>
      <c r="AL6" s="53">
        <f>COUNTIFS(STUDENTDATA!$A:$A, "6", STUDENTDATA!$I:$I, "A")</f>
        <v>0</v>
      </c>
      <c r="AM6" s="53">
        <f>COUNTIFS(STUDENTDATA!$A:$A, "6", STUDENTDATA!$I:$I, "B")</f>
        <v>0</v>
      </c>
      <c r="AN6" s="53">
        <f>COUNTIFS(STUDENTDATA!$A:$A, "6", STUDENTDATA!$I:$I, "C")</f>
        <v>0</v>
      </c>
      <c r="AO6" s="53">
        <f>COUNTIFS(STUDENTDATA!$A:$A, "6", STUDENTDATA!$I:$I, "D")</f>
        <v>0</v>
      </c>
      <c r="AP6" s="53">
        <f>COUNTIFS(STUDENTDATA!$A:$A, "6", STUDENTDATA!$I:$I, "E")</f>
        <v>0</v>
      </c>
      <c r="AQ6" s="53">
        <f t="shared" ref="AQ6" si="5">AL6+AM6+AN6+AO6+AP6</f>
        <v>0</v>
      </c>
    </row>
    <row r="7" spans="1:43" ht="26.25" x14ac:dyDescent="0.25">
      <c r="A7" s="146"/>
      <c r="B7" s="106" t="str">
        <f ca="1">IF(LIFAFA3!$F$7=0, "", TEXT(G6/LIFAFA3!$F$7, "0.00%"))</f>
        <v/>
      </c>
      <c r="C7" s="107"/>
      <c r="D7" s="107"/>
      <c r="E7" s="107"/>
      <c r="F7" s="107"/>
      <c r="G7" s="108"/>
      <c r="H7" s="106" t="str">
        <f ca="1">IF(LIFAFA3!$I$7=0, "", TEXT(M6/LIFAFA3!$I$7, "0.00%"))</f>
        <v/>
      </c>
      <c r="I7" s="107"/>
      <c r="J7" s="107"/>
      <c r="K7" s="107"/>
      <c r="L7" s="107"/>
      <c r="M7" s="108"/>
      <c r="N7" s="106" t="str">
        <f ca="1">IF(LIFAFA3!$L$7=0, "", TEXT(S6/LIFAFA3!$L$7, "0.00%"))</f>
        <v/>
      </c>
      <c r="O7" s="107"/>
      <c r="P7" s="107"/>
      <c r="Q7" s="107"/>
      <c r="R7" s="107"/>
      <c r="S7" s="108"/>
      <c r="T7" s="106" t="str">
        <f ca="1">IF(LIFAFA3!$O$7=0, "", TEXT(Y6/LIFAFA3!$O$7, "0.00%"))</f>
        <v/>
      </c>
      <c r="U7" s="107"/>
      <c r="V7" s="107"/>
      <c r="W7" s="107"/>
      <c r="X7" s="107"/>
      <c r="Y7" s="108"/>
      <c r="Z7" s="106" t="str">
        <f ca="1">IF(LIFAFA3!$R$7=0, "", TEXT(AE6/LIFAFA3!$R$7, "0.00%"))</f>
        <v/>
      </c>
      <c r="AA7" s="107"/>
      <c r="AB7" s="107"/>
      <c r="AC7" s="107"/>
      <c r="AD7" s="107"/>
      <c r="AE7" s="108"/>
      <c r="AF7" s="106" t="str">
        <f ca="1">IF(LIFAFA3!$U$7=0, "", TEXT(AK6/LIFAFA3!$U$7, "0.00%"))</f>
        <v/>
      </c>
      <c r="AG7" s="107"/>
      <c r="AH7" s="107"/>
      <c r="AI7" s="107"/>
      <c r="AJ7" s="107"/>
      <c r="AK7" s="108"/>
      <c r="AL7" s="106" t="str">
        <f ca="1">IF(LIFAFA3!$X$7=0, "", TEXT(AQ6/LIFAFA3!$X$7, "0.00%"))</f>
        <v/>
      </c>
      <c r="AM7" s="107"/>
      <c r="AN7" s="107"/>
      <c r="AO7" s="107"/>
      <c r="AP7" s="107"/>
      <c r="AQ7" s="108"/>
    </row>
    <row r="8" spans="1:43" ht="26.25" x14ac:dyDescent="0.25">
      <c r="A8" s="145" t="str">
        <f>STUDENTDATA!$J$1</f>
        <v xml:space="preserve">अंग्रेजी </v>
      </c>
      <c r="B8" s="53">
        <f>COUNTIFS(STUDENTDATA!$A:$A, "6", STUDENTDATA!$F:$F, "SC",  STUDENTDATA!$J:$J, "A")</f>
        <v>0</v>
      </c>
      <c r="C8" s="53">
        <f>COUNTIFS(STUDENTDATA!$A:$A, "6", STUDENTDATA!$F:$F, "SC",  STUDENTDATA!$J:$J, "B")</f>
        <v>0</v>
      </c>
      <c r="D8" s="53">
        <f>COUNTIFS(STUDENTDATA!$A:$A, "6", STUDENTDATA!$F:$F, "SC",  STUDENTDATA!$J:$J, "C")</f>
        <v>0</v>
      </c>
      <c r="E8" s="53">
        <f>COUNTIFS(STUDENTDATA!$A:$A, "6", STUDENTDATA!$F:$F, "SC",  STUDENTDATA!$J:$J, "D")</f>
        <v>0</v>
      </c>
      <c r="F8" s="53">
        <f>COUNTIFS(STUDENTDATA!$A:$A, "6", STUDENTDATA!$F:$F, "SC",  STUDENTDATA!$J:$J, "E")</f>
        <v>0</v>
      </c>
      <c r="G8" s="53">
        <f>B8+C8+D8+E8+F8</f>
        <v>0</v>
      </c>
      <c r="H8" s="53">
        <f>COUNTIFS(STUDENTDATA!$A:$A, "6", STUDENTDATA!$F:$F, "ST",  STUDENTDATA!$J:$J, "A")</f>
        <v>0</v>
      </c>
      <c r="I8" s="53">
        <f>COUNTIFS(STUDENTDATA!$A:$A, "6", STUDENTDATA!$F:$F, "ST",  STUDENTDATA!$J:$J, "B")</f>
        <v>0</v>
      </c>
      <c r="J8" s="53">
        <f>COUNTIFS(STUDENTDATA!$A:$A, "6", STUDENTDATA!$F:$F, "ST",  STUDENTDATA!$J:$J, "C")</f>
        <v>0</v>
      </c>
      <c r="K8" s="53">
        <f>COUNTIFS(STUDENTDATA!$A:$A, "6", STUDENTDATA!$F:$F, "ST",  STUDENTDATA!$J:$J, "D")</f>
        <v>0</v>
      </c>
      <c r="L8" s="53">
        <f>COUNTIFS(STUDENTDATA!$A:$A, "6", STUDENTDATA!$F:$F, "ST",  STUDENTDATA!$J:$J, "E")</f>
        <v>0</v>
      </c>
      <c r="M8" s="53">
        <f t="shared" ref="M8" si="6">H8+I8+J8+K8+L8</f>
        <v>0</v>
      </c>
      <c r="N8" s="53">
        <f>COUNTIFS(STUDENTDATA!$A:$A, "6", STUDENTDATA!$F:$F, "OBC",  STUDENTDATA!$J:$J, "A")</f>
        <v>0</v>
      </c>
      <c r="O8" s="53">
        <f>COUNTIFS(STUDENTDATA!$A:$A, "6", STUDENTDATA!$F:$F, "OBC",  STUDENTDATA!$J:$J, "B")</f>
        <v>0</v>
      </c>
      <c r="P8" s="53">
        <f>COUNTIFS(STUDENTDATA!$A:$A, "6", STUDENTDATA!$F:$F, "OBC",  STUDENTDATA!$J:$J, "C")</f>
        <v>0</v>
      </c>
      <c r="Q8" s="53">
        <f>COUNTIFS(STUDENTDATA!$A:$A, "6", STUDENTDATA!$F:$F, "OBC",  STUDENTDATA!$J:$J, "D")</f>
        <v>0</v>
      </c>
      <c r="R8" s="53">
        <f>COUNTIFS(STUDENTDATA!$A:$A, "6", STUDENTDATA!$F:$F, "OBC",  STUDENTDATA!$J:$J, "E")</f>
        <v>0</v>
      </c>
      <c r="S8" s="53">
        <f t="shared" ref="S8" si="7">N8+O8+P8+Q8+R8</f>
        <v>0</v>
      </c>
      <c r="T8" s="53">
        <f>COUNTIFS(STUDENTDATA!$A:$A, "6", STUDENTDATA!$F:$F, "SBC",  STUDENTDATA!$J:$J, "A")</f>
        <v>0</v>
      </c>
      <c r="U8" s="53">
        <f>COUNTIFS(STUDENTDATA!$A:$A, "6", STUDENTDATA!$F:$F, "SBC",  STUDENTDATA!$J:$J, "B")</f>
        <v>0</v>
      </c>
      <c r="V8" s="53">
        <f>COUNTIFS(STUDENTDATA!$A:$A, "6", STUDENTDATA!$F:$F, "SBC",  STUDENTDATA!$J:$J, "C")</f>
        <v>0</v>
      </c>
      <c r="W8" s="53">
        <f>COUNTIFS(STUDENTDATA!$A:$A, "6", STUDENTDATA!$F:$F, "SBC",  STUDENTDATA!$J:$J, "D")</f>
        <v>0</v>
      </c>
      <c r="X8" s="53">
        <f>COUNTIFS(STUDENTDATA!$A:$A, "6", STUDENTDATA!$F:$F, "SBC",  STUDENTDATA!$J:$J, "E")</f>
        <v>0</v>
      </c>
      <c r="Y8" s="53">
        <f t="shared" ref="Y8" si="8">T8+U8+V8+W8+X8</f>
        <v>0</v>
      </c>
      <c r="Z8" s="53">
        <f>COUNTIFS(STUDENTDATA!$A:$A, "6", STUDENTDATA!$F:$F, "GEN",  STUDENTDATA!$J:$J, "A")</f>
        <v>0</v>
      </c>
      <c r="AA8" s="53">
        <f>COUNTIFS(STUDENTDATA!$A:$A, "6", STUDENTDATA!$F:$F, "GEN",  STUDENTDATA!$J:$J, "B")</f>
        <v>0</v>
      </c>
      <c r="AB8" s="53">
        <f>COUNTIFS(STUDENTDATA!$A:$A, "6", STUDENTDATA!$F:$F, "GEN",  STUDENTDATA!$J:$J, "C")</f>
        <v>0</v>
      </c>
      <c r="AC8" s="53">
        <f>COUNTIFS(STUDENTDATA!$A:$A, "6", STUDENTDATA!$F:$F, "GEN",  STUDENTDATA!$J:$J, "D")</f>
        <v>0</v>
      </c>
      <c r="AD8" s="53">
        <f>COUNTIFS(STUDENTDATA!$A:$A, "6", STUDENTDATA!$F:$F, "GEN",  STUDENTDATA!$J:$J, "E")</f>
        <v>0</v>
      </c>
      <c r="AE8" s="53">
        <f t="shared" ref="AE8" si="9">Z8+AA8+AB8+AC8+AD8</f>
        <v>0</v>
      </c>
      <c r="AF8" s="53">
        <f>COUNTIFS(STUDENTDATA!$A:$A, "6", STUDENTDATA!$F:$F, "MIN",  STUDENTDATA!$J:$J, "A")</f>
        <v>0</v>
      </c>
      <c r="AG8" s="53">
        <f>COUNTIFS(STUDENTDATA!$A:$A, "6", STUDENTDATA!$F:$F, "MIN",  STUDENTDATA!$J:$J, "B")</f>
        <v>0</v>
      </c>
      <c r="AH8" s="53">
        <f>COUNTIFS(STUDENTDATA!$A:$A, "6", STUDENTDATA!$F:$F, "MIN",  STUDENTDATA!$J:$J, "C")</f>
        <v>0</v>
      </c>
      <c r="AI8" s="53">
        <f>COUNTIFS(STUDENTDATA!$A:$A, "6", STUDENTDATA!$F:$F, "MIN",  STUDENTDATA!$J:$J, "D")</f>
        <v>0</v>
      </c>
      <c r="AJ8" s="53">
        <f>COUNTIFS(STUDENTDATA!$A:$A, "6", STUDENTDATA!$F:$F, "MIN",  STUDENTDATA!$J:$J, "E")</f>
        <v>0</v>
      </c>
      <c r="AK8" s="53">
        <f t="shared" ref="AK8" si="10">AF8+AG8+AH8+AI8+AJ8</f>
        <v>0</v>
      </c>
      <c r="AL8" s="53">
        <f>COUNTIFS(STUDENTDATA!$A:$A, "6",  STUDENTDATA!$J:$J, "A")</f>
        <v>0</v>
      </c>
      <c r="AM8" s="53">
        <f>COUNTIFS(STUDENTDATA!$A:$A, "6",  STUDENTDATA!$J:$J, "B")</f>
        <v>0</v>
      </c>
      <c r="AN8" s="53">
        <f>COUNTIFS(STUDENTDATA!$A:$A, "6",  STUDENTDATA!$J:$J, "C")</f>
        <v>0</v>
      </c>
      <c r="AO8" s="53">
        <f>COUNTIFS(STUDENTDATA!$A:$A, "6",  STUDENTDATA!$J:$J, "D")</f>
        <v>0</v>
      </c>
      <c r="AP8" s="53">
        <f>COUNTIFS(STUDENTDATA!$A:$A, "6",  STUDENTDATA!$J:$J, "E")</f>
        <v>0</v>
      </c>
      <c r="AQ8" s="53">
        <f t="shared" ref="AQ8" si="11">AL8+AM8+AN8+AO8+AP8</f>
        <v>0</v>
      </c>
    </row>
    <row r="9" spans="1:43" ht="26.25" x14ac:dyDescent="0.25">
      <c r="A9" s="146"/>
      <c r="B9" s="106" t="str">
        <f ca="1">IF(LIFAFA3!$F$7=0, "", TEXT(G8/LIFAFA3!$F$7, "0.00%"))</f>
        <v/>
      </c>
      <c r="C9" s="107"/>
      <c r="D9" s="107"/>
      <c r="E9" s="107"/>
      <c r="F9" s="107"/>
      <c r="G9" s="108"/>
      <c r="H9" s="106" t="str">
        <f ca="1">IF(LIFAFA3!$I$7=0, "", TEXT(M8/LIFAFA3!$I$7, "0.00%"))</f>
        <v/>
      </c>
      <c r="I9" s="107"/>
      <c r="J9" s="107"/>
      <c r="K9" s="107"/>
      <c r="L9" s="107"/>
      <c r="M9" s="108"/>
      <c r="N9" s="106" t="str">
        <f ca="1">IF(LIFAFA3!$L$7=0, "", TEXT(S8/LIFAFA3!$L$7, "0.00%"))</f>
        <v/>
      </c>
      <c r="O9" s="107"/>
      <c r="P9" s="107"/>
      <c r="Q9" s="107"/>
      <c r="R9" s="107"/>
      <c r="S9" s="108"/>
      <c r="T9" s="106" t="str">
        <f ca="1">IF(LIFAFA3!$O$7=0, "", TEXT(Y8/LIFAFA3!$O$7, "0.00%"))</f>
        <v/>
      </c>
      <c r="U9" s="107"/>
      <c r="V9" s="107"/>
      <c r="W9" s="107"/>
      <c r="X9" s="107"/>
      <c r="Y9" s="108"/>
      <c r="Z9" s="106" t="str">
        <f ca="1">IF(LIFAFA3!$R$7=0, "", TEXT(AE8/LIFAFA3!$R$7, "0.00%"))</f>
        <v/>
      </c>
      <c r="AA9" s="107"/>
      <c r="AB9" s="107"/>
      <c r="AC9" s="107"/>
      <c r="AD9" s="107"/>
      <c r="AE9" s="108"/>
      <c r="AF9" s="106" t="str">
        <f ca="1">IF(LIFAFA3!$U$7=0, "", TEXT(AK8/LIFAFA3!$U$7, "0.00%"))</f>
        <v/>
      </c>
      <c r="AG9" s="107"/>
      <c r="AH9" s="107"/>
      <c r="AI9" s="107"/>
      <c r="AJ9" s="107"/>
      <c r="AK9" s="108"/>
      <c r="AL9" s="106" t="str">
        <f ca="1">IF(LIFAFA3!$X$7=0, "", TEXT(AQ8/LIFAFA3!$X$7, "0.00%"))</f>
        <v/>
      </c>
      <c r="AM9" s="107"/>
      <c r="AN9" s="107"/>
      <c r="AO9" s="107"/>
      <c r="AP9" s="107"/>
      <c r="AQ9" s="108"/>
    </row>
    <row r="10" spans="1:43" ht="26.25" x14ac:dyDescent="0.25">
      <c r="A10" s="144" t="str">
        <f>STUDENTDATA!$K$1</f>
        <v>गणित</v>
      </c>
      <c r="B10" s="53">
        <f>COUNTIFS(STUDENTDATA!$A:$A, "6", STUDENTDATA!$F:$F, "SC",  STUDENTDATA!$K:$K, "A")</f>
        <v>0</v>
      </c>
      <c r="C10" s="53">
        <f>COUNTIFS(STUDENTDATA!$A:$A, "6", STUDENTDATA!$F:$F, "SC",  STUDENTDATA!$K:$K, "B")</f>
        <v>0</v>
      </c>
      <c r="D10" s="53">
        <f>COUNTIFS(STUDENTDATA!$A:$A, "6", STUDENTDATA!$F:$F, "SC",  STUDENTDATA!$K:$K, "C")</f>
        <v>0</v>
      </c>
      <c r="E10" s="53">
        <f>COUNTIFS(STUDENTDATA!$A:$A, "6", STUDENTDATA!$F:$F, "SC",  STUDENTDATA!$K:$K, "D")</f>
        <v>0</v>
      </c>
      <c r="F10" s="53">
        <f>COUNTIFS(STUDENTDATA!$A:$A, "6", STUDENTDATA!$F:$F, "SC",  STUDENTDATA!$K:$K, "E")</f>
        <v>0</v>
      </c>
      <c r="G10" s="53">
        <f>B10+C10+D10+E10+F10</f>
        <v>0</v>
      </c>
      <c r="H10" s="53">
        <f>COUNTIFS(STUDENTDATA!$A:$A, "6", STUDENTDATA!$F:$F, "ST",  STUDENTDATA!$K:$K, "A")</f>
        <v>0</v>
      </c>
      <c r="I10" s="53">
        <f>COUNTIFS(STUDENTDATA!$A:$A, "6", STUDENTDATA!$F:$F, "ST",  STUDENTDATA!$K:$K, "B")</f>
        <v>0</v>
      </c>
      <c r="J10" s="53">
        <f>COUNTIFS(STUDENTDATA!$A:$A, "6", STUDENTDATA!$F:$F, "ST",  STUDENTDATA!$K:$K, "C")</f>
        <v>0</v>
      </c>
      <c r="K10" s="53">
        <f>COUNTIFS(STUDENTDATA!$A:$A, "6", STUDENTDATA!$F:$F, "ST",  STUDENTDATA!$K:$K, "D")</f>
        <v>0</v>
      </c>
      <c r="L10" s="53">
        <f>COUNTIFS(STUDENTDATA!$A:$A, "6", STUDENTDATA!$F:$F, "ST",  STUDENTDATA!$K:$K, "E")</f>
        <v>0</v>
      </c>
      <c r="M10" s="53">
        <f t="shared" ref="M10" si="12">H10+I10+J10+K10+L10</f>
        <v>0</v>
      </c>
      <c r="N10" s="53">
        <f>COUNTIFS(STUDENTDATA!$A:$A, "6", STUDENTDATA!$F:$F, "OBC",  STUDENTDATA!$K:$K, "A")</f>
        <v>0</v>
      </c>
      <c r="O10" s="53">
        <f>COUNTIFS(STUDENTDATA!$A:$A, "6", STUDENTDATA!$F:$F, "OBC",  STUDENTDATA!$K:$K, "B")</f>
        <v>0</v>
      </c>
      <c r="P10" s="53">
        <f>COUNTIFS(STUDENTDATA!$A:$A, "6", STUDENTDATA!$F:$F, "OBC",  STUDENTDATA!$K:$K, "C")</f>
        <v>0</v>
      </c>
      <c r="Q10" s="53">
        <f>COUNTIFS(STUDENTDATA!$A:$A, "6", STUDENTDATA!$F:$F, "OBC",  STUDENTDATA!$K:$K, "D")</f>
        <v>0</v>
      </c>
      <c r="R10" s="53">
        <f>COUNTIFS(STUDENTDATA!$A:$A, "6", STUDENTDATA!$F:$F, "OBC",  STUDENTDATA!$K:$K, "E")</f>
        <v>0</v>
      </c>
      <c r="S10" s="53">
        <f t="shared" ref="S10" si="13">N10+O10+P10+Q10+R10</f>
        <v>0</v>
      </c>
      <c r="T10" s="53">
        <f>COUNTIFS(STUDENTDATA!$A:$A, "6", STUDENTDATA!$F:$F, "SBC",  STUDENTDATA!$K:$K, "A")</f>
        <v>0</v>
      </c>
      <c r="U10" s="53">
        <f>COUNTIFS(STUDENTDATA!$A:$A, "6", STUDENTDATA!$F:$F, "SBC",  STUDENTDATA!$K:$K, "B")</f>
        <v>0</v>
      </c>
      <c r="V10" s="53">
        <f>COUNTIFS(STUDENTDATA!$A:$A, "6", STUDENTDATA!$F:$F, "SBC",  STUDENTDATA!$K:$K, "C")</f>
        <v>0</v>
      </c>
      <c r="W10" s="53">
        <f>COUNTIFS(STUDENTDATA!$A:$A, "6", STUDENTDATA!$F:$F, "SBC",  STUDENTDATA!$K:$K, "D")</f>
        <v>0</v>
      </c>
      <c r="X10" s="53">
        <f>COUNTIFS(STUDENTDATA!$A:$A, "6", STUDENTDATA!$F:$F, "SBC",  STUDENTDATA!$K:$K, "E")</f>
        <v>0</v>
      </c>
      <c r="Y10" s="53">
        <f t="shared" ref="Y10" si="14">T10+U10+V10+W10+X10</f>
        <v>0</v>
      </c>
      <c r="Z10" s="53">
        <f>COUNTIFS(STUDENTDATA!$A:$A, "6", STUDENTDATA!$F:$F, "GEN",  STUDENTDATA!$K:$K, "A")</f>
        <v>0</v>
      </c>
      <c r="AA10" s="53">
        <f>COUNTIFS(STUDENTDATA!$A:$A, "6", STUDENTDATA!$F:$F, "GEN",  STUDENTDATA!$K:$K, "B")</f>
        <v>0</v>
      </c>
      <c r="AB10" s="53">
        <f>COUNTIFS(STUDENTDATA!$A:$A, "6", STUDENTDATA!$F:$F, "GEN",  STUDENTDATA!$K:$K, "C")</f>
        <v>0</v>
      </c>
      <c r="AC10" s="53">
        <f>COUNTIFS(STUDENTDATA!$A:$A, "6", STUDENTDATA!$F:$F, "GEN",  STUDENTDATA!$K:$K, "D")</f>
        <v>0</v>
      </c>
      <c r="AD10" s="53">
        <f>COUNTIFS(STUDENTDATA!$A:$A, "6", STUDENTDATA!$F:$F, "GEN",  STUDENTDATA!$K:$K, "E")</f>
        <v>0</v>
      </c>
      <c r="AE10" s="53">
        <f t="shared" ref="AE10" si="15">Z10+AA10+AB10+AC10+AD10</f>
        <v>0</v>
      </c>
      <c r="AF10" s="53">
        <f>COUNTIFS(STUDENTDATA!$A:$A, "6", STUDENTDATA!$F:$F, "MIN",  STUDENTDATA!$K:$K, "A")</f>
        <v>0</v>
      </c>
      <c r="AG10" s="53">
        <f>COUNTIFS(STUDENTDATA!$A:$A, "6", STUDENTDATA!$F:$F, "MIN",  STUDENTDATA!$K:$K, "B")</f>
        <v>0</v>
      </c>
      <c r="AH10" s="53">
        <f>COUNTIFS(STUDENTDATA!$A:$A, "6", STUDENTDATA!$F:$F, "MIN",  STUDENTDATA!$K:$K, "C")</f>
        <v>0</v>
      </c>
      <c r="AI10" s="53">
        <f>COUNTIFS(STUDENTDATA!$A:$A, "6", STUDENTDATA!$F:$F, "MIN",  STUDENTDATA!$K:$K, "D")</f>
        <v>0</v>
      </c>
      <c r="AJ10" s="53">
        <f>COUNTIFS(STUDENTDATA!$A:$A, "6", STUDENTDATA!$F:$F, "MIN",  STUDENTDATA!$K:$K, "E")</f>
        <v>0</v>
      </c>
      <c r="AK10" s="53">
        <f t="shared" ref="AK10" si="16">AF10+AG10+AH10+AI10+AJ10</f>
        <v>0</v>
      </c>
      <c r="AL10" s="53">
        <f>COUNTIFS(STUDENTDATA!$A:$A, "6",  STUDENTDATA!$K:$K, "A")</f>
        <v>0</v>
      </c>
      <c r="AM10" s="53">
        <f>COUNTIFS(STUDENTDATA!$A:$A, "6",  STUDENTDATA!$K:$K, "B")</f>
        <v>0</v>
      </c>
      <c r="AN10" s="53">
        <f>COUNTIFS(STUDENTDATA!$A:$A, "6",  STUDENTDATA!$K:$K, "C")</f>
        <v>0</v>
      </c>
      <c r="AO10" s="53">
        <f>COUNTIFS(STUDENTDATA!$A:$A, "6",  STUDENTDATA!$K:$K, "D")</f>
        <v>0</v>
      </c>
      <c r="AP10" s="53">
        <f>COUNTIFS(STUDENTDATA!$A:$A, "6",  STUDENTDATA!$K:$K, "E")</f>
        <v>0</v>
      </c>
      <c r="AQ10" s="53">
        <f t="shared" ref="AQ10" si="17">AL10+AM10+AN10+AO10+AP10</f>
        <v>0</v>
      </c>
    </row>
    <row r="11" spans="1:43" ht="26.25" x14ac:dyDescent="0.25">
      <c r="A11" s="144"/>
      <c r="B11" s="106" t="str">
        <f ca="1">IF(LIFAFA3!$F$7=0, "", TEXT(G10/LIFAFA3!$F$7, "0.00%"))</f>
        <v/>
      </c>
      <c r="C11" s="107"/>
      <c r="D11" s="107"/>
      <c r="E11" s="107"/>
      <c r="F11" s="107"/>
      <c r="G11" s="108"/>
      <c r="H11" s="106" t="str">
        <f ca="1">IF(LIFAFA3!$I$7=0, "", TEXT(M10/LIFAFA3!$I$7, "0.00%"))</f>
        <v/>
      </c>
      <c r="I11" s="107"/>
      <c r="J11" s="107"/>
      <c r="K11" s="107"/>
      <c r="L11" s="107"/>
      <c r="M11" s="108"/>
      <c r="N11" s="106" t="str">
        <f ca="1">IF(LIFAFA3!$L$7=0, "", TEXT(S10/LIFAFA3!$L$7, "0.00%"))</f>
        <v/>
      </c>
      <c r="O11" s="107"/>
      <c r="P11" s="107"/>
      <c r="Q11" s="107"/>
      <c r="R11" s="107"/>
      <c r="S11" s="108"/>
      <c r="T11" s="106" t="str">
        <f ca="1">IF(LIFAFA3!$O$7=0, "", TEXT(Y10/LIFAFA3!$O$7, "0.00%"))</f>
        <v/>
      </c>
      <c r="U11" s="107"/>
      <c r="V11" s="107"/>
      <c r="W11" s="107"/>
      <c r="X11" s="107"/>
      <c r="Y11" s="108"/>
      <c r="Z11" s="106" t="str">
        <f ca="1">IF(LIFAFA3!$R$7=0, "", TEXT(AE10/LIFAFA3!$R$7, "0.00%"))</f>
        <v/>
      </c>
      <c r="AA11" s="107"/>
      <c r="AB11" s="107"/>
      <c r="AC11" s="107"/>
      <c r="AD11" s="107"/>
      <c r="AE11" s="108"/>
      <c r="AF11" s="106" t="str">
        <f ca="1">IF(LIFAFA3!$U$7=0, "", TEXT(AK10/LIFAFA3!$U$7, "0.00%"))</f>
        <v/>
      </c>
      <c r="AG11" s="107"/>
      <c r="AH11" s="107"/>
      <c r="AI11" s="107"/>
      <c r="AJ11" s="107"/>
      <c r="AK11" s="108"/>
      <c r="AL11" s="106" t="str">
        <f ca="1">IF(LIFAFA3!$X$7=0, "", TEXT(AQ10/LIFAFA3!$X$7, "0.00%"))</f>
        <v/>
      </c>
      <c r="AM11" s="107"/>
      <c r="AN11" s="107"/>
      <c r="AO11" s="107"/>
      <c r="AP11" s="107"/>
      <c r="AQ11" s="108"/>
    </row>
    <row r="12" spans="1:43" ht="30" customHeight="1" x14ac:dyDescent="0.25">
      <c r="A12" s="145" t="str">
        <f>STUDENTDATA!$L$1</f>
        <v xml:space="preserve">विज्ञान </v>
      </c>
      <c r="B12" s="53">
        <f>COUNTIFS(STUDENTDATA!$A:$A, "6", STUDENTDATA!$F:$F, "SC",  STUDENTDATA!$L:$L, "A")</f>
        <v>0</v>
      </c>
      <c r="C12" s="53">
        <f>COUNTIFS(STUDENTDATA!$A:$A, "6", STUDENTDATA!$F:$F, "SC",  STUDENTDATA!$L:$L, "B")</f>
        <v>0</v>
      </c>
      <c r="D12" s="53">
        <f>COUNTIFS(STUDENTDATA!$A:$A, "6", STUDENTDATA!$F:$F, "SC",  STUDENTDATA!$L:$L, "C")</f>
        <v>0</v>
      </c>
      <c r="E12" s="53">
        <f>COUNTIFS(STUDENTDATA!$A:$A, "6", STUDENTDATA!$F:$F, "SC",  STUDENTDATA!$L:$L, "D")</f>
        <v>0</v>
      </c>
      <c r="F12" s="53">
        <f>COUNTIFS(STUDENTDATA!$A:$A, "6", STUDENTDATA!$F:$F, "SC",  STUDENTDATA!$L:$L, "E")</f>
        <v>0</v>
      </c>
      <c r="G12" s="53">
        <f>B12+C12+D12+E12+F12</f>
        <v>0</v>
      </c>
      <c r="H12" s="53">
        <f>COUNTIFS(STUDENTDATA!$A:$A, "6", STUDENTDATA!$F:$F, "ST",  STUDENTDATA!$L:$L, "A")</f>
        <v>0</v>
      </c>
      <c r="I12" s="53">
        <f>COUNTIFS(STUDENTDATA!$A:$A, "6", STUDENTDATA!$F:$F, "ST",  STUDENTDATA!$L:$L, "B")</f>
        <v>0</v>
      </c>
      <c r="J12" s="53">
        <f>COUNTIFS(STUDENTDATA!$A:$A, "6", STUDENTDATA!$F:$F, "ST",  STUDENTDATA!$L:$L, "C")</f>
        <v>0</v>
      </c>
      <c r="K12" s="53">
        <f>COUNTIFS(STUDENTDATA!$A:$A, "6", STUDENTDATA!$F:$F, "ST",  STUDENTDATA!$L:$L, "D")</f>
        <v>0</v>
      </c>
      <c r="L12" s="53">
        <f>COUNTIFS(STUDENTDATA!$A:$A, "6", STUDENTDATA!$F:$F, "ST",  STUDENTDATA!$L:$L, "E")</f>
        <v>0</v>
      </c>
      <c r="M12" s="53">
        <f t="shared" ref="M12" si="18">H12+I12+J12+K12+L12</f>
        <v>0</v>
      </c>
      <c r="N12" s="53">
        <f>COUNTIFS(STUDENTDATA!$A:$A, "6", STUDENTDATA!$F:$F, "OBC",  STUDENTDATA!$L:$L, "A")</f>
        <v>0</v>
      </c>
      <c r="O12" s="53">
        <f>COUNTIFS(STUDENTDATA!$A:$A, "6", STUDENTDATA!$F:$F, "OBC",  STUDENTDATA!$L:$L, "B")</f>
        <v>0</v>
      </c>
      <c r="P12" s="53">
        <f>COUNTIFS(STUDENTDATA!$A:$A, "6", STUDENTDATA!$F:$F, "OBC",  STUDENTDATA!$L:$L, "C")</f>
        <v>0</v>
      </c>
      <c r="Q12" s="53">
        <f>COUNTIFS(STUDENTDATA!$A:$A, "6", STUDENTDATA!$F:$F, "OBC",  STUDENTDATA!$L:$L, "D")</f>
        <v>0</v>
      </c>
      <c r="R12" s="53">
        <f>COUNTIFS(STUDENTDATA!$A:$A, "6", STUDENTDATA!$F:$F, "OBC",  STUDENTDATA!$L:$L, "E")</f>
        <v>0</v>
      </c>
      <c r="S12" s="53">
        <f t="shared" ref="S12" si="19">N12+O12+P12+Q12+R12</f>
        <v>0</v>
      </c>
      <c r="T12" s="53">
        <f>COUNTIFS(STUDENTDATA!$A:$A, "6", STUDENTDATA!$F:$F, "SBC",  STUDENTDATA!$L:$L, "A")</f>
        <v>0</v>
      </c>
      <c r="U12" s="53">
        <f>COUNTIFS(STUDENTDATA!$A:$A, "6", STUDENTDATA!$F:$F, "SBC",  STUDENTDATA!$L:$L, "B")</f>
        <v>0</v>
      </c>
      <c r="V12" s="53">
        <f>COUNTIFS(STUDENTDATA!$A:$A, "6", STUDENTDATA!$F:$F, "SBC",  STUDENTDATA!$L:$L, "C")</f>
        <v>0</v>
      </c>
      <c r="W12" s="53">
        <f>COUNTIFS(STUDENTDATA!$A:$A, "6", STUDENTDATA!$F:$F, "SBC",  STUDENTDATA!$L:$L, "D")</f>
        <v>0</v>
      </c>
      <c r="X12" s="53">
        <f>COUNTIFS(STUDENTDATA!$A:$A, "6", STUDENTDATA!$F:$F, "SBC",  STUDENTDATA!$L:$L, "E")</f>
        <v>0</v>
      </c>
      <c r="Y12" s="53">
        <f t="shared" ref="Y12" si="20">T12+U12+V12+W12+X12</f>
        <v>0</v>
      </c>
      <c r="Z12" s="53">
        <f>COUNTIFS(STUDENTDATA!$A:$A, "6", STUDENTDATA!$F:$F, "GEN",  STUDENTDATA!$L:$L, "A")</f>
        <v>0</v>
      </c>
      <c r="AA12" s="53">
        <f>COUNTIFS(STUDENTDATA!$A:$A, "6", STUDENTDATA!$F:$F, "GEN",  STUDENTDATA!$L:$L, "B")</f>
        <v>0</v>
      </c>
      <c r="AB12" s="53">
        <f>COUNTIFS(STUDENTDATA!$A:$A, "6", STUDENTDATA!$F:$F, "GEN",  STUDENTDATA!$L:$L, "C")</f>
        <v>0</v>
      </c>
      <c r="AC12" s="53">
        <f>COUNTIFS(STUDENTDATA!$A:$A, "6", STUDENTDATA!$F:$F, "GEN",  STUDENTDATA!$L:$L, "D")</f>
        <v>0</v>
      </c>
      <c r="AD12" s="53">
        <f>COUNTIFS(STUDENTDATA!$A:$A, "6", STUDENTDATA!$F:$F, "GEN",  STUDENTDATA!$L:$L, "E")</f>
        <v>0</v>
      </c>
      <c r="AE12" s="53">
        <f t="shared" ref="AE12" si="21">Z12+AA12+AB12+AC12+AD12</f>
        <v>0</v>
      </c>
      <c r="AF12" s="53">
        <f>COUNTIFS(STUDENTDATA!$A:$A, "6", STUDENTDATA!$F:$F, "MIN",  STUDENTDATA!$L:$L, "A")</f>
        <v>0</v>
      </c>
      <c r="AG12" s="53">
        <f>COUNTIFS(STUDENTDATA!$A:$A, "6", STUDENTDATA!$F:$F, "MIN",  STUDENTDATA!$L:$L, "B")</f>
        <v>0</v>
      </c>
      <c r="AH12" s="53">
        <f>COUNTIFS(STUDENTDATA!$A:$A, "6", STUDENTDATA!$F:$F, "MIN",  STUDENTDATA!$L:$L, "C")</f>
        <v>0</v>
      </c>
      <c r="AI12" s="53">
        <f>COUNTIFS(STUDENTDATA!$A:$A, "6", STUDENTDATA!$F:$F, "MIN",  STUDENTDATA!$L:$L, "D")</f>
        <v>0</v>
      </c>
      <c r="AJ12" s="53">
        <f>COUNTIFS(STUDENTDATA!$A:$A, "6", STUDENTDATA!$F:$F, "MIN",  STUDENTDATA!$L:$L, "E")</f>
        <v>0</v>
      </c>
      <c r="AK12" s="53">
        <f t="shared" ref="AK12" si="22">AF12+AG12+AH12+AI12+AJ12</f>
        <v>0</v>
      </c>
      <c r="AL12" s="53">
        <f>COUNTIFS(STUDENTDATA!$A:$A, "6",  STUDENTDATA!$L:$L, "A")</f>
        <v>0</v>
      </c>
      <c r="AM12" s="53">
        <f>COUNTIFS(STUDENTDATA!$A:$A, "6",  STUDENTDATA!$L:$L, "B")</f>
        <v>0</v>
      </c>
      <c r="AN12" s="53">
        <f>COUNTIFS(STUDENTDATA!$A:$A, "6",  STUDENTDATA!$L:$L, "C")</f>
        <v>0</v>
      </c>
      <c r="AO12" s="53">
        <f>COUNTIFS(STUDENTDATA!$A:$A, "6",  STUDENTDATA!$L:$L, "D")</f>
        <v>0</v>
      </c>
      <c r="AP12" s="53">
        <f>COUNTIFS(STUDENTDATA!$A:$A, "6",  STUDENTDATA!$L:$L, "E")</f>
        <v>0</v>
      </c>
      <c r="AQ12" s="53">
        <f t="shared" ref="AQ12" si="23">AL12+AM12+AN12+AO12+AP12</f>
        <v>0</v>
      </c>
    </row>
    <row r="13" spans="1:43" ht="26.25" x14ac:dyDescent="0.25">
      <c r="A13" s="146"/>
      <c r="B13" s="106" t="str">
        <f ca="1">IF(LIFAFA3!$F$7=0, "", TEXT(G12/LIFAFA3!$F$7, "0.00%"))</f>
        <v/>
      </c>
      <c r="C13" s="107"/>
      <c r="D13" s="107"/>
      <c r="E13" s="107"/>
      <c r="F13" s="107"/>
      <c r="G13" s="108"/>
      <c r="H13" s="106" t="str">
        <f ca="1">IF(LIFAFA3!$I$7=0, "", TEXT(M12/LIFAFA3!$I$7, "0.00%"))</f>
        <v/>
      </c>
      <c r="I13" s="107"/>
      <c r="J13" s="107"/>
      <c r="K13" s="107"/>
      <c r="L13" s="107"/>
      <c r="M13" s="108"/>
      <c r="N13" s="106" t="str">
        <f ca="1">IF(LIFAFA3!$L$7=0, "", TEXT(S12/LIFAFA3!$L$7, "0.00%"))</f>
        <v/>
      </c>
      <c r="O13" s="107"/>
      <c r="P13" s="107"/>
      <c r="Q13" s="107"/>
      <c r="R13" s="107"/>
      <c r="S13" s="108"/>
      <c r="T13" s="106" t="str">
        <f ca="1">IF(LIFAFA3!$O$7=0, "", TEXT(Y12/LIFAFA3!$O$7, "0.00%"))</f>
        <v/>
      </c>
      <c r="U13" s="107"/>
      <c r="V13" s="107"/>
      <c r="W13" s="107"/>
      <c r="X13" s="107"/>
      <c r="Y13" s="108"/>
      <c r="Z13" s="106" t="str">
        <f ca="1">IF(LIFAFA3!$R$7=0, "", TEXT(AE12/LIFAFA3!$R$7, "0.00%"))</f>
        <v/>
      </c>
      <c r="AA13" s="107"/>
      <c r="AB13" s="107"/>
      <c r="AC13" s="107"/>
      <c r="AD13" s="107"/>
      <c r="AE13" s="108"/>
      <c r="AF13" s="106" t="str">
        <f ca="1">IF(LIFAFA3!$U$7=0, "", TEXT(AK12/LIFAFA3!$U$7, "0.00%"))</f>
        <v/>
      </c>
      <c r="AG13" s="107"/>
      <c r="AH13" s="107"/>
      <c r="AI13" s="107"/>
      <c r="AJ13" s="107"/>
      <c r="AK13" s="108"/>
      <c r="AL13" s="106" t="str">
        <f ca="1">IF(LIFAFA3!$X$7=0, "", TEXT(AQ12/LIFAFA3!$X$7, "0.00%"))</f>
        <v/>
      </c>
      <c r="AM13" s="107"/>
      <c r="AN13" s="107"/>
      <c r="AO13" s="107"/>
      <c r="AP13" s="107"/>
      <c r="AQ13" s="108"/>
    </row>
    <row r="14" spans="1:43" ht="26.25" x14ac:dyDescent="0.25">
      <c r="A14" s="145" t="str">
        <f>STUDENTDATA!$M$1</f>
        <v xml:space="preserve">संस्कृत </v>
      </c>
      <c r="B14" s="53">
        <f>COUNTIFS(STUDENTDATA!$A:$A, "6", STUDENTDATA!$F:$F, "SC",  STUDENTDATA!$M:$M, "A")</f>
        <v>0</v>
      </c>
      <c r="C14" s="53">
        <f>COUNTIFS(STUDENTDATA!$A:$A, "6", STUDENTDATA!$F:$F, "SC",  STUDENTDATA!$M:$M, "B")</f>
        <v>0</v>
      </c>
      <c r="D14" s="53">
        <f>COUNTIFS(STUDENTDATA!$A:$A, "6", STUDENTDATA!$F:$F, "SC",  STUDENTDATA!$M:$M, "C")</f>
        <v>0</v>
      </c>
      <c r="E14" s="53">
        <f>COUNTIFS(STUDENTDATA!$A:$A, "6", STUDENTDATA!$F:$F, "SC",  STUDENTDATA!$M:$M, "D")</f>
        <v>0</v>
      </c>
      <c r="F14" s="53">
        <f>COUNTIFS(STUDENTDATA!$A:$A, "6", STUDENTDATA!$F:$F, "SC",  STUDENTDATA!$M:$M, "E")</f>
        <v>0</v>
      </c>
      <c r="G14" s="53">
        <f>B14+C14+D14+E14+F14</f>
        <v>0</v>
      </c>
      <c r="H14" s="53">
        <f>COUNTIFS(STUDENTDATA!$A:$A, "6", STUDENTDATA!$F:$F, "ST",  STUDENTDATA!$M:$M, "A")</f>
        <v>0</v>
      </c>
      <c r="I14" s="53">
        <f>COUNTIFS(STUDENTDATA!$A:$A, "6", STUDENTDATA!$F:$F, "ST",  STUDENTDATA!$M:$M, "B")</f>
        <v>0</v>
      </c>
      <c r="J14" s="53">
        <f>COUNTIFS(STUDENTDATA!$A:$A, "6", STUDENTDATA!$F:$F, "ST",  STUDENTDATA!$M:$M, "C")</f>
        <v>0</v>
      </c>
      <c r="K14" s="53">
        <f>COUNTIFS(STUDENTDATA!$A:$A, "6", STUDENTDATA!$F:$F, "ST",  STUDENTDATA!$M:$M, "D")</f>
        <v>0</v>
      </c>
      <c r="L14" s="53">
        <f>COUNTIFS(STUDENTDATA!$A:$A, "6", STUDENTDATA!$F:$F, "ST",  STUDENTDATA!$M:$M, "E")</f>
        <v>0</v>
      </c>
      <c r="M14" s="53">
        <f t="shared" ref="M14" si="24">H14+I14+J14+K14+L14</f>
        <v>0</v>
      </c>
      <c r="N14" s="53">
        <f>COUNTIFS(STUDENTDATA!$A:$A, "6", STUDENTDATA!$F:$F, "OBC",  STUDENTDATA!$M:$M, "A")</f>
        <v>0</v>
      </c>
      <c r="O14" s="53">
        <f>COUNTIFS(STUDENTDATA!$A:$A, "6", STUDENTDATA!$F:$F, "OBC",  STUDENTDATA!$M:$M, "B")</f>
        <v>0</v>
      </c>
      <c r="P14" s="53">
        <f>COUNTIFS(STUDENTDATA!$A:$A, "6", STUDENTDATA!$F:$F, "OBC",  STUDENTDATA!$M:$M, "C")</f>
        <v>0</v>
      </c>
      <c r="Q14" s="53">
        <f>COUNTIFS(STUDENTDATA!$A:$A, "6", STUDENTDATA!$F:$F, "OBC",  STUDENTDATA!$M:$M, "D")</f>
        <v>0</v>
      </c>
      <c r="R14" s="53">
        <f>COUNTIFS(STUDENTDATA!$A:$A, "6", STUDENTDATA!$F:$F, "OBC",  STUDENTDATA!$M:$M, "E")</f>
        <v>0</v>
      </c>
      <c r="S14" s="53">
        <f t="shared" ref="S14" si="25">N14+O14+P14+Q14+R14</f>
        <v>0</v>
      </c>
      <c r="T14" s="53">
        <f>COUNTIFS(STUDENTDATA!$A:$A, "6", STUDENTDATA!$F:$F, "SBC",  STUDENTDATA!$M:$M, "A")</f>
        <v>0</v>
      </c>
      <c r="U14" s="53">
        <f>COUNTIFS(STUDENTDATA!$A:$A, "6", STUDENTDATA!$F:$F, "SBC",  STUDENTDATA!$M:$M, "B")</f>
        <v>0</v>
      </c>
      <c r="V14" s="53">
        <f>COUNTIFS(STUDENTDATA!$A:$A, "6", STUDENTDATA!$F:$F, "SBC",  STUDENTDATA!$M:$M, "C")</f>
        <v>0</v>
      </c>
      <c r="W14" s="53">
        <f>COUNTIFS(STUDENTDATA!$A:$A, "6", STUDENTDATA!$F:$F, "SBC",  STUDENTDATA!$M:$M, "D")</f>
        <v>0</v>
      </c>
      <c r="X14" s="53">
        <f>COUNTIFS(STUDENTDATA!$A:$A, "6", STUDENTDATA!$F:$F, "SBC",  STUDENTDATA!$M:$M, "E")</f>
        <v>0</v>
      </c>
      <c r="Y14" s="53">
        <f t="shared" ref="Y14" si="26">T14+U14+V14+W14+X14</f>
        <v>0</v>
      </c>
      <c r="Z14" s="53">
        <f>COUNTIFS(STUDENTDATA!$A:$A, "6", STUDENTDATA!$F:$F, "GEN",  STUDENTDATA!$M:$M, "A")</f>
        <v>0</v>
      </c>
      <c r="AA14" s="53">
        <f>COUNTIFS(STUDENTDATA!$A:$A, "6", STUDENTDATA!$F:$F, "GEN",  STUDENTDATA!$M:$M, "B")</f>
        <v>0</v>
      </c>
      <c r="AB14" s="53">
        <f>COUNTIFS(STUDENTDATA!$A:$A, "6", STUDENTDATA!$F:$F, "GEN",  STUDENTDATA!$M:$M, "C")</f>
        <v>0</v>
      </c>
      <c r="AC14" s="53">
        <f>COUNTIFS(STUDENTDATA!$A:$A, "6", STUDENTDATA!$F:$F, "GEN",  STUDENTDATA!$M:$M, "D")</f>
        <v>0</v>
      </c>
      <c r="AD14" s="53">
        <f>COUNTIFS(STUDENTDATA!$A:$A, "6", STUDENTDATA!$F:$F, "GEN",  STUDENTDATA!$M:$M, "E")</f>
        <v>0</v>
      </c>
      <c r="AE14" s="53">
        <f t="shared" ref="AE14" si="27">Z14+AA14+AB14+AC14+AD14</f>
        <v>0</v>
      </c>
      <c r="AF14" s="53">
        <f>COUNTIFS(STUDENTDATA!$A:$A, "6", STUDENTDATA!$F:$F, "MIN",  STUDENTDATA!$M:$M, "A")</f>
        <v>0</v>
      </c>
      <c r="AG14" s="53">
        <f>COUNTIFS(STUDENTDATA!$A:$A, "6", STUDENTDATA!$F:$F, "MIN",  STUDENTDATA!$M:$M, "B")</f>
        <v>0</v>
      </c>
      <c r="AH14" s="53">
        <f>COUNTIFS(STUDENTDATA!$A:$A, "6", STUDENTDATA!$F:$F, "MIN",  STUDENTDATA!$M:$M, "C")</f>
        <v>0</v>
      </c>
      <c r="AI14" s="53">
        <f>COUNTIFS(STUDENTDATA!$A:$A, "6", STUDENTDATA!$F:$F, "MIN",  STUDENTDATA!$M:$M, "D")</f>
        <v>0</v>
      </c>
      <c r="AJ14" s="53">
        <f>COUNTIFS(STUDENTDATA!$A:$A, "6", STUDENTDATA!$F:$F, "MIN",  STUDENTDATA!$M:$M, "E")</f>
        <v>0</v>
      </c>
      <c r="AK14" s="53">
        <f t="shared" ref="AK14" si="28">AF14+AG14+AH14+AI14+AJ14</f>
        <v>0</v>
      </c>
      <c r="AL14" s="53">
        <f>COUNTIFS(STUDENTDATA!$A:$A, "6",  STUDENTDATA!$M:$M, "A")</f>
        <v>0</v>
      </c>
      <c r="AM14" s="53">
        <f>COUNTIFS(STUDENTDATA!$A:$A, "6",  STUDENTDATA!$M:$M, "B")</f>
        <v>0</v>
      </c>
      <c r="AN14" s="53">
        <f>COUNTIFS(STUDENTDATA!$A:$A, "6",  STUDENTDATA!$M:$M, "C")</f>
        <v>0</v>
      </c>
      <c r="AO14" s="53">
        <f>COUNTIFS(STUDENTDATA!$A:$A, "6",  STUDENTDATA!$M:$M, "D")</f>
        <v>0</v>
      </c>
      <c r="AP14" s="53">
        <f>COUNTIFS(STUDENTDATA!$A:$A, "6",  STUDENTDATA!$M:$M, "E")</f>
        <v>0</v>
      </c>
      <c r="AQ14" s="53">
        <f t="shared" ref="AQ14" si="29">AL14+AM14+AN14+AO14+AP14</f>
        <v>0</v>
      </c>
    </row>
    <row r="15" spans="1:43" ht="26.25" x14ac:dyDescent="0.25">
      <c r="A15" s="146"/>
      <c r="B15" s="106" t="str">
        <f ca="1">IF(LIFAFA3!$F$7=0, "", TEXT(G14/LIFAFA3!$F$7, "0.00%"))</f>
        <v/>
      </c>
      <c r="C15" s="107"/>
      <c r="D15" s="107"/>
      <c r="E15" s="107"/>
      <c r="F15" s="107"/>
      <c r="G15" s="108"/>
      <c r="H15" s="106" t="str">
        <f ca="1">IF(LIFAFA3!$I$7=0, "", TEXT(M14/LIFAFA3!$I$7, "0.00%"))</f>
        <v/>
      </c>
      <c r="I15" s="107"/>
      <c r="J15" s="107"/>
      <c r="K15" s="107"/>
      <c r="L15" s="107"/>
      <c r="M15" s="108"/>
      <c r="N15" s="106" t="str">
        <f ca="1">IF(LIFAFA3!$L$7=0, "", TEXT(S14/LIFAFA3!$L$7, "0.00%"))</f>
        <v/>
      </c>
      <c r="O15" s="107"/>
      <c r="P15" s="107"/>
      <c r="Q15" s="107"/>
      <c r="R15" s="107"/>
      <c r="S15" s="108"/>
      <c r="T15" s="106" t="str">
        <f ca="1">IF(LIFAFA3!$O$7=0, "", TEXT(Y14/LIFAFA3!$O$7, "0.00%"))</f>
        <v/>
      </c>
      <c r="U15" s="107"/>
      <c r="V15" s="107"/>
      <c r="W15" s="107"/>
      <c r="X15" s="107"/>
      <c r="Y15" s="108"/>
      <c r="Z15" s="106" t="str">
        <f ca="1">IF(LIFAFA3!$R$7=0, "", TEXT(AE14/LIFAFA3!$R$7, "0.00%"))</f>
        <v/>
      </c>
      <c r="AA15" s="107"/>
      <c r="AB15" s="107"/>
      <c r="AC15" s="107"/>
      <c r="AD15" s="107"/>
      <c r="AE15" s="108"/>
      <c r="AF15" s="106" t="str">
        <f ca="1">IF(LIFAFA3!$U$7=0, "", TEXT(AK14/LIFAFA3!$U$7, "0.00%"))</f>
        <v/>
      </c>
      <c r="AG15" s="107"/>
      <c r="AH15" s="107"/>
      <c r="AI15" s="107"/>
      <c r="AJ15" s="107"/>
      <c r="AK15" s="108"/>
      <c r="AL15" s="106" t="str">
        <f ca="1">IF(LIFAFA3!$X$7=0, "", TEXT(AQ14/LIFAFA3!$X$7, "0.00%"))</f>
        <v/>
      </c>
      <c r="AM15" s="107"/>
      <c r="AN15" s="107"/>
      <c r="AO15" s="107"/>
      <c r="AP15" s="107"/>
      <c r="AQ15" s="108"/>
    </row>
    <row r="16" spans="1:43" ht="26.25" x14ac:dyDescent="0.25">
      <c r="A16" s="144" t="str">
        <f>STUDENTDATA!$N$1</f>
        <v>सामाजिक विज्ञान</v>
      </c>
      <c r="B16" s="53">
        <f>COUNTIFS(STUDENTDATA!$A:$A, "6", STUDENTDATA!$F:$F, "SC",  STUDENTDATA!$N:$N, "A")</f>
        <v>0</v>
      </c>
      <c r="C16" s="53">
        <f>COUNTIFS(STUDENTDATA!$A:$A, "6", STUDENTDATA!$F:$F, "SC",  STUDENTDATA!$N:$N, "B")</f>
        <v>0</v>
      </c>
      <c r="D16" s="53">
        <f>COUNTIFS(STUDENTDATA!$A:$A, "6", STUDENTDATA!$F:$F, "SC",  STUDENTDATA!$N:$N, "C")</f>
        <v>0</v>
      </c>
      <c r="E16" s="53">
        <f>COUNTIFS(STUDENTDATA!$A:$A, "6", STUDENTDATA!$F:$F, "SC",  STUDENTDATA!$N:$N, "D")</f>
        <v>0</v>
      </c>
      <c r="F16" s="53">
        <f>COUNTIFS(STUDENTDATA!$A:$A, "6", STUDENTDATA!$F:$F, "SC",  STUDENTDATA!$N:$N, "E")</f>
        <v>0</v>
      </c>
      <c r="G16" s="53">
        <f>B16+C16+D16+E16+F16</f>
        <v>0</v>
      </c>
      <c r="H16" s="53">
        <f>COUNTIFS(STUDENTDATA!$A:$A, "6", STUDENTDATA!$F:$F, "ST",  STUDENTDATA!$N:$N, "A")</f>
        <v>0</v>
      </c>
      <c r="I16" s="53">
        <f>COUNTIFS(STUDENTDATA!$A:$A, "6", STUDENTDATA!$F:$F, "ST",  STUDENTDATA!$N:$N, "B")</f>
        <v>0</v>
      </c>
      <c r="J16" s="53">
        <f>COUNTIFS(STUDENTDATA!$A:$A, "6", STUDENTDATA!$F:$F, "ST",  STUDENTDATA!$N:$N, "C")</f>
        <v>0</v>
      </c>
      <c r="K16" s="53">
        <f>COUNTIFS(STUDENTDATA!$A:$A, "6", STUDENTDATA!$F:$F, "ST",  STUDENTDATA!$N:$N, "D")</f>
        <v>0</v>
      </c>
      <c r="L16" s="53">
        <f>COUNTIFS(STUDENTDATA!$A:$A, "6", STUDENTDATA!$F:$F, "ST",  STUDENTDATA!$N:$N, "E")</f>
        <v>0</v>
      </c>
      <c r="M16" s="53">
        <f t="shared" ref="M16" si="30">H16+I16+J16+K16+L16</f>
        <v>0</v>
      </c>
      <c r="N16" s="53">
        <f>COUNTIFS(STUDENTDATA!$A:$A, "6", STUDENTDATA!$F:$F, "OBC",  STUDENTDATA!$N:$N, "A")</f>
        <v>0</v>
      </c>
      <c r="O16" s="53">
        <f>COUNTIFS(STUDENTDATA!$A:$A, "6", STUDENTDATA!$F:$F, "OBC",  STUDENTDATA!$N:$N, "B")</f>
        <v>0</v>
      </c>
      <c r="P16" s="53">
        <f>COUNTIFS(STUDENTDATA!$A:$A, "6", STUDENTDATA!$F:$F, "OBC",  STUDENTDATA!$N:$N, "C")</f>
        <v>0</v>
      </c>
      <c r="Q16" s="53">
        <f>COUNTIFS(STUDENTDATA!$A:$A, "6", STUDENTDATA!$F:$F, "OBC",  STUDENTDATA!$N:$N, "D")</f>
        <v>0</v>
      </c>
      <c r="R16" s="53">
        <f>COUNTIFS(STUDENTDATA!$A:$A, "6", STUDENTDATA!$F:$F, "OBC",  STUDENTDATA!$N:$N, "E")</f>
        <v>0</v>
      </c>
      <c r="S16" s="53">
        <f t="shared" ref="S16" si="31">N16+O16+P16+Q16+R16</f>
        <v>0</v>
      </c>
      <c r="T16" s="53">
        <f>COUNTIFS(STUDENTDATA!$A:$A, "6", STUDENTDATA!$F:$F, "SBC",  STUDENTDATA!$N:$N, "A")</f>
        <v>0</v>
      </c>
      <c r="U16" s="53">
        <f>COUNTIFS(STUDENTDATA!$A:$A, "6", STUDENTDATA!$F:$F, "SBC",  STUDENTDATA!$N:$N, "B")</f>
        <v>0</v>
      </c>
      <c r="V16" s="53">
        <f>COUNTIFS(STUDENTDATA!$A:$A, "6", STUDENTDATA!$F:$F, "SBC",  STUDENTDATA!$N:$N, "C")</f>
        <v>0</v>
      </c>
      <c r="W16" s="53">
        <f>COUNTIFS(STUDENTDATA!$A:$A, "6", STUDENTDATA!$F:$F, "SBC",  STUDENTDATA!$N:$N, "D")</f>
        <v>0</v>
      </c>
      <c r="X16" s="53">
        <f>COUNTIFS(STUDENTDATA!$A:$A, "6", STUDENTDATA!$F:$F, "SBC",  STUDENTDATA!$N:$N, "E")</f>
        <v>0</v>
      </c>
      <c r="Y16" s="53">
        <f t="shared" ref="Y16" si="32">T16+U16+V16+W16+X16</f>
        <v>0</v>
      </c>
      <c r="Z16" s="53">
        <f>COUNTIFS(STUDENTDATA!$A:$A, "6", STUDENTDATA!$F:$F, "GEN",  STUDENTDATA!$N:$N, "A")</f>
        <v>0</v>
      </c>
      <c r="AA16" s="53">
        <f>COUNTIFS(STUDENTDATA!$A:$A, "6", STUDENTDATA!$F:$F, "GEN",  STUDENTDATA!$N:$N, "B")</f>
        <v>0</v>
      </c>
      <c r="AB16" s="53">
        <f>COUNTIFS(STUDENTDATA!$A:$A, "6", STUDENTDATA!$F:$F, "GEN",  STUDENTDATA!$N:$N, "C")</f>
        <v>0</v>
      </c>
      <c r="AC16" s="53">
        <f>COUNTIFS(STUDENTDATA!$A:$A, "6", STUDENTDATA!$F:$F, "GEN",  STUDENTDATA!$N:$N, "D")</f>
        <v>0</v>
      </c>
      <c r="AD16" s="53">
        <f>COUNTIFS(STUDENTDATA!$A:$A, "6", STUDENTDATA!$F:$F, "GEN",  STUDENTDATA!$N:$N, "E")</f>
        <v>0</v>
      </c>
      <c r="AE16" s="53">
        <f t="shared" ref="AE16" si="33">Z16+AA16+AB16+AC16+AD16</f>
        <v>0</v>
      </c>
      <c r="AF16" s="53">
        <f>COUNTIFS(STUDENTDATA!$A:$A, "6", STUDENTDATA!$F:$F, "MIN",  STUDENTDATA!$N:$N, "A")</f>
        <v>0</v>
      </c>
      <c r="AG16" s="53">
        <f>COUNTIFS(STUDENTDATA!$A:$A, "6", STUDENTDATA!$F:$F, "MIN",  STUDENTDATA!$N:$N, "B")</f>
        <v>0</v>
      </c>
      <c r="AH16" s="53">
        <f>COUNTIFS(STUDENTDATA!$A:$A, "6", STUDENTDATA!$F:$F, "MIN",  STUDENTDATA!$N:$N, "C")</f>
        <v>0</v>
      </c>
      <c r="AI16" s="53">
        <f>COUNTIFS(STUDENTDATA!$A:$A, "6", STUDENTDATA!$F:$F, "MIN",  STUDENTDATA!$N:$N, "D")</f>
        <v>0</v>
      </c>
      <c r="AJ16" s="53">
        <f>COUNTIFS(STUDENTDATA!$A:$A, "6", STUDENTDATA!$F:$F, "MIN",  STUDENTDATA!$N:$N, "E")</f>
        <v>0</v>
      </c>
      <c r="AK16" s="53">
        <f t="shared" ref="AK16" si="34">AF16+AG16+AH16+AI16+AJ16</f>
        <v>0</v>
      </c>
      <c r="AL16" s="53">
        <f>COUNTIFS(STUDENTDATA!$A:$A, "6",  STUDENTDATA!$N:$N, "A")</f>
        <v>0</v>
      </c>
      <c r="AM16" s="53">
        <f>COUNTIFS(STUDENTDATA!$A:$A, "6",  STUDENTDATA!$N:$N, "B")</f>
        <v>0</v>
      </c>
      <c r="AN16" s="53">
        <f>COUNTIFS(STUDENTDATA!$A:$A, "6",  STUDENTDATA!$N:$N, "C")</f>
        <v>0</v>
      </c>
      <c r="AO16" s="53">
        <f>COUNTIFS(STUDENTDATA!$A:$A, "6",  STUDENTDATA!$N:$N, "D")</f>
        <v>0</v>
      </c>
      <c r="AP16" s="53">
        <f>COUNTIFS(STUDENTDATA!$A:$A, "6",  STUDENTDATA!$N:$N, "E")</f>
        <v>0</v>
      </c>
      <c r="AQ16" s="53">
        <f t="shared" ref="AQ16" si="35">AL16+AM16+AN16+AO16+AP16</f>
        <v>0</v>
      </c>
    </row>
    <row r="17" spans="1:43" ht="26.25" x14ac:dyDescent="0.25">
      <c r="A17" s="144"/>
      <c r="B17" s="106" t="str">
        <f ca="1">IF(LIFAFA3!$F$7=0, "", TEXT(G16/LIFAFA3!$F$7, "0.00%"))</f>
        <v/>
      </c>
      <c r="C17" s="107"/>
      <c r="D17" s="107"/>
      <c r="E17" s="107"/>
      <c r="F17" s="107"/>
      <c r="G17" s="108"/>
      <c r="H17" s="106" t="str">
        <f ca="1">IF(LIFAFA3!$I$7=0, "", TEXT(M16/LIFAFA3!$I$7, "0.00%"))</f>
        <v/>
      </c>
      <c r="I17" s="107"/>
      <c r="J17" s="107"/>
      <c r="K17" s="107"/>
      <c r="L17" s="107"/>
      <c r="M17" s="108"/>
      <c r="N17" s="106" t="str">
        <f ca="1">IF(LIFAFA3!$L$7=0, "", TEXT(S16/LIFAFA3!$L$7, "0.00%"))</f>
        <v/>
      </c>
      <c r="O17" s="107"/>
      <c r="P17" s="107"/>
      <c r="Q17" s="107"/>
      <c r="R17" s="107"/>
      <c r="S17" s="108"/>
      <c r="T17" s="106" t="str">
        <f ca="1">IF(LIFAFA3!$O$7=0, "", TEXT(Y16/LIFAFA3!$O$7, "0.00%"))</f>
        <v/>
      </c>
      <c r="U17" s="107"/>
      <c r="V17" s="107"/>
      <c r="W17" s="107"/>
      <c r="X17" s="107"/>
      <c r="Y17" s="108"/>
      <c r="Z17" s="106" t="str">
        <f ca="1">IF(LIFAFA3!$R$7=0, "", TEXT(AE16/LIFAFA3!$R$7, "0.00%"))</f>
        <v/>
      </c>
      <c r="AA17" s="107"/>
      <c r="AB17" s="107"/>
      <c r="AC17" s="107"/>
      <c r="AD17" s="107"/>
      <c r="AE17" s="108"/>
      <c r="AF17" s="106" t="str">
        <f ca="1">IF(LIFAFA3!$U$7=0, "", TEXT(AK16/LIFAFA3!$U$7, "0.00%"))</f>
        <v/>
      </c>
      <c r="AG17" s="107"/>
      <c r="AH17" s="107"/>
      <c r="AI17" s="107"/>
      <c r="AJ17" s="107"/>
      <c r="AK17" s="108"/>
      <c r="AL17" s="106" t="str">
        <f ca="1">IF(LIFAFA3!$X$7=0, "", TEXT(AQ16/LIFAFA3!$X$7, "0.00%"))</f>
        <v/>
      </c>
      <c r="AM17" s="107"/>
      <c r="AN17" s="107"/>
      <c r="AO17" s="107"/>
      <c r="AP17" s="107"/>
      <c r="AQ17" s="108"/>
    </row>
    <row r="20" spans="1:43" ht="39.75" x14ac:dyDescent="0.25">
      <c r="A20" s="147" t="s">
        <v>1439</v>
      </c>
      <c r="B20" s="147"/>
      <c r="C20" s="147"/>
      <c r="D20" s="147"/>
      <c r="E20" s="147"/>
      <c r="F20" s="147"/>
      <c r="G20" s="147"/>
      <c r="H20" s="147"/>
      <c r="I20" s="147"/>
      <c r="J20" s="147"/>
      <c r="K20" s="147"/>
      <c r="L20" s="147"/>
      <c r="M20" s="147"/>
      <c r="N20" s="147"/>
      <c r="O20" s="147"/>
      <c r="P20" s="148">
        <v>7</v>
      </c>
      <c r="Q20" s="148"/>
      <c r="R20" s="148"/>
      <c r="S20" s="148"/>
      <c r="T20" s="148"/>
      <c r="U20" s="148"/>
      <c r="V20" s="148"/>
      <c r="W20" s="148"/>
      <c r="X20" s="148"/>
      <c r="Y20" s="148"/>
      <c r="Z20" s="148"/>
      <c r="AA20" s="148"/>
      <c r="AB20" s="148"/>
      <c r="AC20" s="148"/>
      <c r="AD20" s="148"/>
      <c r="AE20" s="148"/>
      <c r="AF20" s="148"/>
      <c r="AG20" s="148"/>
      <c r="AH20" s="148"/>
      <c r="AI20" s="148"/>
      <c r="AJ20" s="148"/>
      <c r="AK20" s="148"/>
      <c r="AL20" s="148"/>
      <c r="AM20" s="148"/>
      <c r="AN20" s="148"/>
      <c r="AO20" s="148"/>
      <c r="AP20" s="148"/>
      <c r="AQ20" s="148"/>
    </row>
    <row r="21" spans="1:43" ht="38.25" x14ac:dyDescent="0.25">
      <c r="A21" s="149" t="s">
        <v>1425</v>
      </c>
      <c r="B21" s="149"/>
      <c r="C21" s="149"/>
      <c r="D21" s="149"/>
      <c r="E21" s="149"/>
      <c r="F21" s="149"/>
      <c r="G21" s="149"/>
      <c r="H21" s="149"/>
      <c r="I21" s="149"/>
      <c r="J21" s="149"/>
      <c r="K21" s="149"/>
      <c r="L21" s="149"/>
      <c r="M21" s="149"/>
      <c r="N21" s="149"/>
      <c r="O21" s="149"/>
      <c r="P21" s="149"/>
      <c r="Q21" s="149"/>
      <c r="R21" s="149"/>
      <c r="S21" s="149"/>
      <c r="T21" s="149"/>
      <c r="U21" s="149"/>
      <c r="V21" s="149"/>
      <c r="W21" s="149"/>
      <c r="X21" s="149"/>
      <c r="Y21" s="149"/>
      <c r="Z21" s="149"/>
      <c r="AA21" s="149"/>
      <c r="AB21" s="149"/>
      <c r="AC21" s="149"/>
      <c r="AD21" s="149"/>
      <c r="AE21" s="149"/>
      <c r="AF21" s="149"/>
      <c r="AG21" s="149"/>
      <c r="AH21" s="149"/>
      <c r="AI21" s="149"/>
      <c r="AJ21" s="149"/>
      <c r="AK21" s="149"/>
      <c r="AL21" s="149"/>
      <c r="AM21" s="149"/>
      <c r="AN21" s="149"/>
      <c r="AO21" s="149"/>
      <c r="AP21" s="149"/>
      <c r="AQ21" s="149"/>
    </row>
    <row r="22" spans="1:43" x14ac:dyDescent="0.25">
      <c r="A22" s="150" t="s">
        <v>1426</v>
      </c>
      <c r="B22" s="82" t="s">
        <v>4</v>
      </c>
      <c r="C22" s="82"/>
      <c r="D22" s="82"/>
      <c r="E22" s="82"/>
      <c r="F22" s="82"/>
      <c r="G22" s="82"/>
      <c r="H22" s="82" t="s">
        <v>5</v>
      </c>
      <c r="I22" s="82"/>
      <c r="J22" s="82"/>
      <c r="K22" s="82"/>
      <c r="L22" s="82"/>
      <c r="M22" s="82"/>
      <c r="N22" s="82" t="s">
        <v>6</v>
      </c>
      <c r="O22" s="82"/>
      <c r="P22" s="82"/>
      <c r="Q22" s="82"/>
      <c r="R22" s="82"/>
      <c r="S22" s="82"/>
      <c r="T22" s="82" t="s">
        <v>7</v>
      </c>
      <c r="U22" s="82"/>
      <c r="V22" s="82"/>
      <c r="W22" s="82"/>
      <c r="X22" s="82"/>
      <c r="Y22" s="82"/>
      <c r="Z22" s="82" t="s">
        <v>8</v>
      </c>
      <c r="AA22" s="82"/>
      <c r="AB22" s="82"/>
      <c r="AC22" s="82"/>
      <c r="AD22" s="82"/>
      <c r="AE22" s="82"/>
      <c r="AF22" s="82" t="s">
        <v>9</v>
      </c>
      <c r="AG22" s="82"/>
      <c r="AH22" s="82"/>
      <c r="AI22" s="82"/>
      <c r="AJ22" s="82"/>
      <c r="AK22" s="82"/>
      <c r="AL22" s="82" t="s">
        <v>1435</v>
      </c>
      <c r="AM22" s="82"/>
      <c r="AN22" s="82"/>
      <c r="AO22" s="82"/>
      <c r="AP22" s="82"/>
      <c r="AQ22" s="82"/>
    </row>
    <row r="23" spans="1:43" ht="23.25" x14ac:dyDescent="0.25">
      <c r="A23" s="151"/>
      <c r="B23" s="51" t="s">
        <v>49</v>
      </c>
      <c r="C23" s="51" t="s">
        <v>10</v>
      </c>
      <c r="D23" s="51" t="s">
        <v>1376</v>
      </c>
      <c r="E23" s="51" t="s">
        <v>1377</v>
      </c>
      <c r="F23" s="51" t="s">
        <v>1378</v>
      </c>
      <c r="G23" s="25" t="s">
        <v>3</v>
      </c>
      <c r="H23" s="51" t="s">
        <v>49</v>
      </c>
      <c r="I23" s="51" t="s">
        <v>10</v>
      </c>
      <c r="J23" s="51" t="s">
        <v>1376</v>
      </c>
      <c r="K23" s="51" t="s">
        <v>1377</v>
      </c>
      <c r="L23" s="51" t="s">
        <v>1378</v>
      </c>
      <c r="M23" s="25" t="s">
        <v>3</v>
      </c>
      <c r="N23" s="51" t="s">
        <v>49</v>
      </c>
      <c r="O23" s="51" t="s">
        <v>10</v>
      </c>
      <c r="P23" s="51" t="s">
        <v>1376</v>
      </c>
      <c r="Q23" s="51" t="s">
        <v>1377</v>
      </c>
      <c r="R23" s="51" t="s">
        <v>1378</v>
      </c>
      <c r="S23" s="25" t="s">
        <v>3</v>
      </c>
      <c r="T23" s="51" t="s">
        <v>49</v>
      </c>
      <c r="U23" s="51" t="s">
        <v>10</v>
      </c>
      <c r="V23" s="51" t="s">
        <v>1376</v>
      </c>
      <c r="W23" s="51" t="s">
        <v>1377</v>
      </c>
      <c r="X23" s="51" t="s">
        <v>1378</v>
      </c>
      <c r="Y23" s="25" t="s">
        <v>3</v>
      </c>
      <c r="Z23" s="51" t="s">
        <v>49</v>
      </c>
      <c r="AA23" s="51" t="s">
        <v>10</v>
      </c>
      <c r="AB23" s="51" t="s">
        <v>1376</v>
      </c>
      <c r="AC23" s="51" t="s">
        <v>1377</v>
      </c>
      <c r="AD23" s="51" t="s">
        <v>1378</v>
      </c>
      <c r="AE23" s="25" t="s">
        <v>3</v>
      </c>
      <c r="AF23" s="51" t="s">
        <v>49</v>
      </c>
      <c r="AG23" s="51" t="s">
        <v>10</v>
      </c>
      <c r="AH23" s="51" t="s">
        <v>1376</v>
      </c>
      <c r="AI23" s="51" t="s">
        <v>1377</v>
      </c>
      <c r="AJ23" s="51" t="s">
        <v>1378</v>
      </c>
      <c r="AK23" s="25" t="s">
        <v>3</v>
      </c>
      <c r="AL23" s="18" t="s">
        <v>49</v>
      </c>
      <c r="AM23" s="18" t="s">
        <v>10</v>
      </c>
      <c r="AN23" s="18" t="s">
        <v>1376</v>
      </c>
      <c r="AO23" s="18" t="s">
        <v>1377</v>
      </c>
      <c r="AP23" s="18" t="s">
        <v>1378</v>
      </c>
      <c r="AQ23" s="26" t="s">
        <v>3</v>
      </c>
    </row>
    <row r="24" spans="1:43" ht="26.25" x14ac:dyDescent="0.25">
      <c r="A24" s="145" t="str">
        <f>STUDENTDATA!$I$1</f>
        <v>हिन्दी</v>
      </c>
      <c r="B24" s="53">
        <f>COUNTIFS(STUDENTDATA!$A:$A, "7", STUDENTDATA!$F:$F, "SC", STUDENTDATA!$I:$I, "A")</f>
        <v>0</v>
      </c>
      <c r="C24" s="53">
        <f>COUNTIFS(STUDENTDATA!$A:$A, "7", STUDENTDATA!$F:$F, "SC", STUDENTDATA!$I:$I, "B")</f>
        <v>0</v>
      </c>
      <c r="D24" s="53">
        <f>COUNTIFS(STUDENTDATA!$A:$A, "7", STUDENTDATA!$F:$F, "SC", STUDENTDATA!$I:$I, "C")</f>
        <v>0</v>
      </c>
      <c r="E24" s="53">
        <f>COUNTIFS(STUDENTDATA!$A:$A, "7", STUDENTDATA!$F:$F, "SC", STUDENTDATA!$I:$I, "D")</f>
        <v>0</v>
      </c>
      <c r="F24" s="53">
        <f>COUNTIFS(STUDENTDATA!$A:$A, "7", STUDENTDATA!$F:$F, "SC", STUDENTDATA!$I:$I, "E")</f>
        <v>0</v>
      </c>
      <c r="G24" s="53">
        <f>B24+C24+D24+E24+F24</f>
        <v>0</v>
      </c>
      <c r="H24" s="53">
        <f>COUNTIFS(STUDENTDATA!$A:$A, "7", STUDENTDATA!$F:$F, "ST", STUDENTDATA!$I:$I, "A")</f>
        <v>0</v>
      </c>
      <c r="I24" s="53">
        <f>COUNTIFS(STUDENTDATA!$A:$A, "7", STUDENTDATA!$F:$F, "ST", STUDENTDATA!$I:$I, "B")</f>
        <v>0</v>
      </c>
      <c r="J24" s="53">
        <f>COUNTIFS(STUDENTDATA!$A:$A, "7", STUDENTDATA!$F:$F, "ST", STUDENTDATA!$I:$I, "C")</f>
        <v>0</v>
      </c>
      <c r="K24" s="53">
        <f>COUNTIFS(STUDENTDATA!$A:$A, "7", STUDENTDATA!$F:$F, "ST", STUDENTDATA!$I:$I, "D")</f>
        <v>0</v>
      </c>
      <c r="L24" s="53">
        <f>COUNTIFS(STUDENTDATA!$A:$A, "7", STUDENTDATA!$F:$F, "ST", STUDENTDATA!$I:$I, "E")</f>
        <v>0</v>
      </c>
      <c r="M24" s="53">
        <f t="shared" ref="M24" si="36">H24+I24+J24+K24+L24</f>
        <v>0</v>
      </c>
      <c r="N24" s="53">
        <f>COUNTIFS(STUDENTDATA!$A:$A, "7", STUDENTDATA!$F:$F, "OBC", STUDENTDATA!$I:$I, "A")</f>
        <v>0</v>
      </c>
      <c r="O24" s="53">
        <f>COUNTIFS(STUDENTDATA!$A:$A, "7", STUDENTDATA!$F:$F, "OBC", STUDENTDATA!$I:$I, "B")</f>
        <v>0</v>
      </c>
      <c r="P24" s="53">
        <f>COUNTIFS(STUDENTDATA!$A:$A, "7", STUDENTDATA!$F:$F, "OBC", STUDENTDATA!$I:$I, "C")</f>
        <v>0</v>
      </c>
      <c r="Q24" s="53">
        <f>COUNTIFS(STUDENTDATA!$A:$A, "7", STUDENTDATA!$F:$F, "OBC", STUDENTDATA!$I:$I, "D")</f>
        <v>0</v>
      </c>
      <c r="R24" s="53">
        <f>COUNTIFS(STUDENTDATA!$A:$A, "7", STUDENTDATA!$F:$F, "OBC", STUDENTDATA!$I:$I, "E")</f>
        <v>0</v>
      </c>
      <c r="S24" s="53">
        <f t="shared" ref="S24" si="37">N24+O24+P24+Q24+R24</f>
        <v>0</v>
      </c>
      <c r="T24" s="53">
        <f>COUNTIFS(STUDENTDATA!$A:$A, "7", STUDENTDATA!$F:$F, "SBC", STUDENTDATA!$I:$I, "A")</f>
        <v>0</v>
      </c>
      <c r="U24" s="53">
        <f>COUNTIFS(STUDENTDATA!$A:$A, "7", STUDENTDATA!$F:$F, "SBC", STUDENTDATA!$I:$I, "B")</f>
        <v>0</v>
      </c>
      <c r="V24" s="53">
        <f>COUNTIFS(STUDENTDATA!$A:$A, "7", STUDENTDATA!$F:$F, "SBC", STUDENTDATA!$I:$I, "C")</f>
        <v>0</v>
      </c>
      <c r="W24" s="53">
        <f>COUNTIFS(STUDENTDATA!$A:$A, "7", STUDENTDATA!$F:$F, "SBC", STUDENTDATA!$I:$I, "D")</f>
        <v>0</v>
      </c>
      <c r="X24" s="53">
        <f>COUNTIFS(STUDENTDATA!$A:$A, "7", STUDENTDATA!$F:$F, "SBC", STUDENTDATA!$I:$I, "E")</f>
        <v>0</v>
      </c>
      <c r="Y24" s="53">
        <f t="shared" ref="Y24" si="38">T24+U24+V24+W24+X24</f>
        <v>0</v>
      </c>
      <c r="Z24" s="53">
        <f>COUNTIFS(STUDENTDATA!$A:$A, "7", STUDENTDATA!$F:$F, "GEN", STUDENTDATA!$I:$I, "A")</f>
        <v>0</v>
      </c>
      <c r="AA24" s="53">
        <f>COUNTIFS(STUDENTDATA!$A:$A, "7", STUDENTDATA!$F:$F, "GEN", STUDENTDATA!$I:$I, "B")</f>
        <v>0</v>
      </c>
      <c r="AB24" s="53">
        <f>COUNTIFS(STUDENTDATA!$A:$A, "7", STUDENTDATA!$F:$F, "GEN", STUDENTDATA!$I:$I, "C")</f>
        <v>0</v>
      </c>
      <c r="AC24" s="53">
        <f>COUNTIFS(STUDENTDATA!$A:$A, "7", STUDENTDATA!$F:$F, "GEN", STUDENTDATA!$I:$I, "D")</f>
        <v>0</v>
      </c>
      <c r="AD24" s="53">
        <f>COUNTIFS(STUDENTDATA!$A:$A, "7", STUDENTDATA!$F:$F, "GEN", STUDENTDATA!$I:$I, "E")</f>
        <v>0</v>
      </c>
      <c r="AE24" s="53">
        <f t="shared" ref="AE24" si="39">Z24+AA24+AB24+AC24+AD24</f>
        <v>0</v>
      </c>
      <c r="AF24" s="53">
        <f>COUNTIFS(STUDENTDATA!$A:$A, "7", STUDENTDATA!$F:$F, "MIN", STUDENTDATA!$I:$I, "A")</f>
        <v>0</v>
      </c>
      <c r="AG24" s="53">
        <f>COUNTIFS(STUDENTDATA!$A:$A, "7", STUDENTDATA!$F:$F, "MIN", STUDENTDATA!$I:$I, "B")</f>
        <v>0</v>
      </c>
      <c r="AH24" s="53">
        <f>COUNTIFS(STUDENTDATA!$A:$A, "7", STUDENTDATA!$F:$F, "MIN", STUDENTDATA!$I:$I, "C")</f>
        <v>0</v>
      </c>
      <c r="AI24" s="53">
        <f>COUNTIFS(STUDENTDATA!$A:$A, "7", STUDENTDATA!$F:$F, "MIN", STUDENTDATA!$I:$I, "D")</f>
        <v>0</v>
      </c>
      <c r="AJ24" s="53">
        <f>COUNTIFS(STUDENTDATA!$A:$A, "7", STUDENTDATA!$F:$F, "MIN", STUDENTDATA!$I:$I, "E")</f>
        <v>0</v>
      </c>
      <c r="AK24" s="53">
        <f t="shared" ref="AK24" si="40">AF24+AG24+AH24+AI24+AJ24</f>
        <v>0</v>
      </c>
      <c r="AL24" s="53">
        <f>COUNTIFS(STUDENTDATA!$A:$A, "7", STUDENTDATA!$I:$I, "A")</f>
        <v>0</v>
      </c>
      <c r="AM24" s="53">
        <f>COUNTIFS(STUDENTDATA!$A:$A, "7", STUDENTDATA!$I:$I, "B")</f>
        <v>0</v>
      </c>
      <c r="AN24" s="53">
        <f>COUNTIFS(STUDENTDATA!$A:$A, "7", STUDENTDATA!$I:$I, "C")</f>
        <v>0</v>
      </c>
      <c r="AO24" s="53">
        <f>COUNTIFS(STUDENTDATA!$A:$A, "7", STUDENTDATA!$I:$I, "D")</f>
        <v>0</v>
      </c>
      <c r="AP24" s="53">
        <f>COUNTIFS(STUDENTDATA!$A:$A, "7", STUDENTDATA!$I:$I, "E")</f>
        <v>0</v>
      </c>
      <c r="AQ24" s="53">
        <f t="shared" ref="AQ24" si="41">AL24+AM24+AN24+AO24+AP24</f>
        <v>0</v>
      </c>
    </row>
    <row r="25" spans="1:43" ht="26.25" x14ac:dyDescent="0.25">
      <c r="A25" s="146"/>
      <c r="B25" s="106" t="str">
        <f ca="1">IF(LIFAFA3!$F$8=0, "", TEXT(G24/LIFAFA3!$F$8, "0.00%"))</f>
        <v/>
      </c>
      <c r="C25" s="107"/>
      <c r="D25" s="107"/>
      <c r="E25" s="107"/>
      <c r="F25" s="107"/>
      <c r="G25" s="108"/>
      <c r="H25" s="106" t="str">
        <f ca="1">IF(LIFAFA3!$I$8=0, "", TEXT(M24/LIFAFA3!$I$8, "0.00%"))</f>
        <v/>
      </c>
      <c r="I25" s="107"/>
      <c r="J25" s="107"/>
      <c r="K25" s="107"/>
      <c r="L25" s="107"/>
      <c r="M25" s="108"/>
      <c r="N25" s="106" t="str">
        <f ca="1">IF(LIFAFA3!$L$8=0, "", TEXT(S24/LIFAFA3!$L$8, "0.00%"))</f>
        <v/>
      </c>
      <c r="O25" s="107"/>
      <c r="P25" s="107"/>
      <c r="Q25" s="107"/>
      <c r="R25" s="107"/>
      <c r="S25" s="108"/>
      <c r="T25" s="106" t="str">
        <f ca="1">IF(LIFAFA3!$O$8=0, "", TEXT(Y24/LIFAFA3!$O$8, "0.00%"))</f>
        <v/>
      </c>
      <c r="U25" s="107"/>
      <c r="V25" s="107"/>
      <c r="W25" s="107"/>
      <c r="X25" s="107"/>
      <c r="Y25" s="108"/>
      <c r="Z25" s="106" t="str">
        <f ca="1">IF(LIFAFA3!$R$8=0, "", TEXT(AE24/LIFAFA3!$R$8, "0.00%"))</f>
        <v/>
      </c>
      <c r="AA25" s="107"/>
      <c r="AB25" s="107"/>
      <c r="AC25" s="107"/>
      <c r="AD25" s="107"/>
      <c r="AE25" s="108"/>
      <c r="AF25" s="106" t="str">
        <f ca="1">IF(LIFAFA3!$U$8=0, "", TEXT(AK24/LIFAFA3!$U$8, "0.00%"))</f>
        <v/>
      </c>
      <c r="AG25" s="107"/>
      <c r="AH25" s="107"/>
      <c r="AI25" s="107"/>
      <c r="AJ25" s="107"/>
      <c r="AK25" s="108"/>
      <c r="AL25" s="106" t="str">
        <f ca="1">IF(LIFAFA3!$X$8=0, "", TEXT(AQ24/LIFAFA3!$X$8, "0.00%"))</f>
        <v/>
      </c>
      <c r="AM25" s="107"/>
      <c r="AN25" s="107"/>
      <c r="AO25" s="107"/>
      <c r="AP25" s="107"/>
      <c r="AQ25" s="108"/>
    </row>
    <row r="26" spans="1:43" ht="26.25" customHeight="1" x14ac:dyDescent="0.25">
      <c r="A26" s="145" t="str">
        <f>STUDENTDATA!$J$1</f>
        <v xml:space="preserve">अंग्रेजी </v>
      </c>
      <c r="B26" s="53">
        <f>COUNTIFS(STUDENTDATA!$A:$A, "7", STUDENTDATA!$F:$F, "SC",  STUDENTDATA!$J:$J, "A")</f>
        <v>0</v>
      </c>
      <c r="C26" s="53">
        <f>COUNTIFS(STUDENTDATA!$A:$A, "7", STUDENTDATA!$F:$F, "SC",  STUDENTDATA!$J:$J, "B")</f>
        <v>0</v>
      </c>
      <c r="D26" s="53">
        <f>COUNTIFS(STUDENTDATA!$A:$A, "7", STUDENTDATA!$F:$F, "SC",  STUDENTDATA!$J:$J, "C")</f>
        <v>0</v>
      </c>
      <c r="E26" s="53">
        <f>COUNTIFS(STUDENTDATA!$A:$A, "7", STUDENTDATA!$F:$F, "SC",  STUDENTDATA!$J:$J, "D")</f>
        <v>0</v>
      </c>
      <c r="F26" s="53">
        <f>COUNTIFS(STUDENTDATA!$A:$A, "7", STUDENTDATA!$F:$F, "SC",  STUDENTDATA!$J:$J, "E")</f>
        <v>0</v>
      </c>
      <c r="G26" s="53">
        <f>B26+C26+D26+E26+F26</f>
        <v>0</v>
      </c>
      <c r="H26" s="53">
        <f>COUNTIFS(STUDENTDATA!$A:$A, "7", STUDENTDATA!$F:$F, "ST",  STUDENTDATA!$J:$J, "A")</f>
        <v>0</v>
      </c>
      <c r="I26" s="53">
        <f>COUNTIFS(STUDENTDATA!$A:$A, "7", STUDENTDATA!$F:$F, "ST",  STUDENTDATA!$J:$J, "B")</f>
        <v>0</v>
      </c>
      <c r="J26" s="53">
        <f>COUNTIFS(STUDENTDATA!$A:$A, "7", STUDENTDATA!$F:$F, "ST",  STUDENTDATA!$J:$J, "C")</f>
        <v>0</v>
      </c>
      <c r="K26" s="53">
        <f>COUNTIFS(STUDENTDATA!$A:$A, "7", STUDENTDATA!$F:$F, "ST",  STUDENTDATA!$J:$J, "D")</f>
        <v>0</v>
      </c>
      <c r="L26" s="53">
        <f>COUNTIFS(STUDENTDATA!$A:$A, "7", STUDENTDATA!$F:$F, "ST",  STUDENTDATA!$J:$J, "E")</f>
        <v>0</v>
      </c>
      <c r="M26" s="53">
        <f t="shared" ref="M26" si="42">H26+I26+J26+K26+L26</f>
        <v>0</v>
      </c>
      <c r="N26" s="53">
        <f>COUNTIFS(STUDENTDATA!$A:$A, "7", STUDENTDATA!$F:$F, "OBC",  STUDENTDATA!$J:$J, "A")</f>
        <v>0</v>
      </c>
      <c r="O26" s="53">
        <f>COUNTIFS(STUDENTDATA!$A:$A, "7", STUDENTDATA!$F:$F, "OBC",  STUDENTDATA!$J:$J, "B")</f>
        <v>0</v>
      </c>
      <c r="P26" s="53">
        <f>COUNTIFS(STUDENTDATA!$A:$A, "7", STUDENTDATA!$F:$F, "OBC",  STUDENTDATA!$J:$J, "C")</f>
        <v>0</v>
      </c>
      <c r="Q26" s="53">
        <f>COUNTIFS(STUDENTDATA!$A:$A, "7", STUDENTDATA!$F:$F, "OBC",  STUDENTDATA!$J:$J, "D")</f>
        <v>0</v>
      </c>
      <c r="R26" s="53">
        <f>COUNTIFS(STUDENTDATA!$A:$A, "7", STUDENTDATA!$F:$F, "OBC",  STUDENTDATA!$J:$J, "E")</f>
        <v>0</v>
      </c>
      <c r="S26" s="53">
        <f t="shared" ref="S26" si="43">N26+O26+P26+Q26+R26</f>
        <v>0</v>
      </c>
      <c r="T26" s="53">
        <f>COUNTIFS(STUDENTDATA!$A:$A, "7", STUDENTDATA!$F:$F, "SBC",  STUDENTDATA!$J:$J, "A")</f>
        <v>0</v>
      </c>
      <c r="U26" s="53">
        <f>COUNTIFS(STUDENTDATA!$A:$A, "7", STUDENTDATA!$F:$F, "SBC",  STUDENTDATA!$J:$J, "B")</f>
        <v>0</v>
      </c>
      <c r="V26" s="53">
        <f>COUNTIFS(STUDENTDATA!$A:$A, "7", STUDENTDATA!$F:$F, "SBC",  STUDENTDATA!$J:$J, "C")</f>
        <v>0</v>
      </c>
      <c r="W26" s="53">
        <f>COUNTIFS(STUDENTDATA!$A:$A, "7", STUDENTDATA!$F:$F, "SBC",  STUDENTDATA!$J:$J, "D")</f>
        <v>0</v>
      </c>
      <c r="X26" s="53">
        <f>COUNTIFS(STUDENTDATA!$A:$A, "7", STUDENTDATA!$F:$F, "SBC",  STUDENTDATA!$J:$J, "E")</f>
        <v>0</v>
      </c>
      <c r="Y26" s="53">
        <f t="shared" ref="Y26" si="44">T26+U26+V26+W26+X26</f>
        <v>0</v>
      </c>
      <c r="Z26" s="53">
        <f>COUNTIFS(STUDENTDATA!$A:$A, "7", STUDENTDATA!$F:$F, "GEN",  STUDENTDATA!$J:$J, "A")</f>
        <v>0</v>
      </c>
      <c r="AA26" s="53">
        <f>COUNTIFS(STUDENTDATA!$A:$A, "7", STUDENTDATA!$F:$F, "GEN",  STUDENTDATA!$J:$J, "B")</f>
        <v>0</v>
      </c>
      <c r="AB26" s="53">
        <f>COUNTIFS(STUDENTDATA!$A:$A, "7", STUDENTDATA!$F:$F, "GEN",  STUDENTDATA!$J:$J, "C")</f>
        <v>0</v>
      </c>
      <c r="AC26" s="53">
        <f>COUNTIFS(STUDENTDATA!$A:$A, "7", STUDENTDATA!$F:$F, "GEN",  STUDENTDATA!$J:$J, "D")</f>
        <v>0</v>
      </c>
      <c r="AD26" s="53">
        <f>COUNTIFS(STUDENTDATA!$A:$A, "7", STUDENTDATA!$F:$F, "GEN",  STUDENTDATA!$J:$J, "E")</f>
        <v>0</v>
      </c>
      <c r="AE26" s="53">
        <f t="shared" ref="AE26" si="45">Z26+AA26+AB26+AC26+AD26</f>
        <v>0</v>
      </c>
      <c r="AF26" s="53">
        <f>COUNTIFS(STUDENTDATA!$A:$A, "7", STUDENTDATA!$F:$F, "MIN",  STUDENTDATA!$J:$J, "A")</f>
        <v>0</v>
      </c>
      <c r="AG26" s="53">
        <f>COUNTIFS(STUDENTDATA!$A:$A, "7", STUDENTDATA!$F:$F, "MIN",  STUDENTDATA!$J:$J, "B")</f>
        <v>0</v>
      </c>
      <c r="AH26" s="53">
        <f>COUNTIFS(STUDENTDATA!$A:$A, "7", STUDENTDATA!$F:$F, "MIN",  STUDENTDATA!$J:$J, "C")</f>
        <v>0</v>
      </c>
      <c r="AI26" s="53">
        <f>COUNTIFS(STUDENTDATA!$A:$A, "7", STUDENTDATA!$F:$F, "MIN",  STUDENTDATA!$J:$J, "D")</f>
        <v>0</v>
      </c>
      <c r="AJ26" s="53">
        <f>COUNTIFS(STUDENTDATA!$A:$A, "7", STUDENTDATA!$F:$F, "MIN",  STUDENTDATA!$J:$J, "E")</f>
        <v>0</v>
      </c>
      <c r="AK26" s="53">
        <f t="shared" ref="AK26" si="46">AF26+AG26+AH26+AI26+AJ26</f>
        <v>0</v>
      </c>
      <c r="AL26" s="53">
        <f>COUNTIFS(STUDENTDATA!$A:$A, "7",  STUDENTDATA!$J:$J, "A")</f>
        <v>0</v>
      </c>
      <c r="AM26" s="53">
        <f>COUNTIFS(STUDENTDATA!$A:$A, "7",  STUDENTDATA!$J:$J, "B")</f>
        <v>0</v>
      </c>
      <c r="AN26" s="53">
        <f>COUNTIFS(STUDENTDATA!$A:$A, "7",  STUDENTDATA!$J:$J, "C")</f>
        <v>0</v>
      </c>
      <c r="AO26" s="53">
        <f>COUNTIFS(STUDENTDATA!$A:$A, "7",  STUDENTDATA!$J:$J, "D")</f>
        <v>0</v>
      </c>
      <c r="AP26" s="53">
        <f>COUNTIFS(STUDENTDATA!$A:$A, "7",  STUDENTDATA!$J:$J, "E")</f>
        <v>0</v>
      </c>
      <c r="AQ26" s="53">
        <f t="shared" ref="AQ26" si="47">AL26+AM26+AN26+AO26+AP26</f>
        <v>0</v>
      </c>
    </row>
    <row r="27" spans="1:43" ht="26.25" customHeight="1" x14ac:dyDescent="0.25">
      <c r="A27" s="146"/>
      <c r="B27" s="106" t="str">
        <f ca="1">IF(LIFAFA3!$F$8=0, "", TEXT(G26/LIFAFA3!$F$8, "0.00%"))</f>
        <v/>
      </c>
      <c r="C27" s="107"/>
      <c r="D27" s="107"/>
      <c r="E27" s="107"/>
      <c r="F27" s="107"/>
      <c r="G27" s="108"/>
      <c r="H27" s="106" t="str">
        <f ca="1">IF(LIFAFA3!$I$8=0, "", TEXT(M26/LIFAFA3!$I$8, "0.00%"))</f>
        <v/>
      </c>
      <c r="I27" s="107"/>
      <c r="J27" s="107"/>
      <c r="K27" s="107"/>
      <c r="L27" s="107"/>
      <c r="M27" s="108"/>
      <c r="N27" s="106" t="str">
        <f ca="1">IF(LIFAFA3!$L$8=0, "", TEXT(S26/LIFAFA3!$L$8, "0.00%"))</f>
        <v/>
      </c>
      <c r="O27" s="107"/>
      <c r="P27" s="107"/>
      <c r="Q27" s="107"/>
      <c r="R27" s="107"/>
      <c r="S27" s="108"/>
      <c r="T27" s="106" t="str">
        <f ca="1">IF(LIFAFA3!$O$8=0, "", TEXT(Y26/LIFAFA3!$O$8, "0.00%"))</f>
        <v/>
      </c>
      <c r="U27" s="107"/>
      <c r="V27" s="107"/>
      <c r="W27" s="107"/>
      <c r="X27" s="107"/>
      <c r="Y27" s="108"/>
      <c r="Z27" s="106" t="str">
        <f ca="1">IF(LIFAFA3!$R$8=0, "", TEXT(AE26/LIFAFA3!$R$8, "0.00%"))</f>
        <v/>
      </c>
      <c r="AA27" s="107"/>
      <c r="AB27" s="107"/>
      <c r="AC27" s="107"/>
      <c r="AD27" s="107"/>
      <c r="AE27" s="108"/>
      <c r="AF27" s="106" t="str">
        <f ca="1">IF(LIFAFA3!$U$8=0, "", TEXT(AK26/LIFAFA3!$U$8, "0.00%"))</f>
        <v/>
      </c>
      <c r="AG27" s="107"/>
      <c r="AH27" s="107"/>
      <c r="AI27" s="107"/>
      <c r="AJ27" s="107"/>
      <c r="AK27" s="108"/>
      <c r="AL27" s="106" t="str">
        <f ca="1">IF(LIFAFA3!$X$8=0, "", TEXT(AQ26/LIFAFA3!$X$8, "0.00%"))</f>
        <v/>
      </c>
      <c r="AM27" s="107"/>
      <c r="AN27" s="107"/>
      <c r="AO27" s="107"/>
      <c r="AP27" s="107"/>
      <c r="AQ27" s="108"/>
    </row>
    <row r="28" spans="1:43" ht="26.25" customHeight="1" x14ac:dyDescent="0.25">
      <c r="A28" s="145" t="str">
        <f>STUDENTDATA!$K$1</f>
        <v>गणित</v>
      </c>
      <c r="B28" s="53">
        <f>COUNTIFS(STUDENTDATA!$A:$A, "7", STUDENTDATA!$F:$F, "SC",  STUDENTDATA!$K:$K, "A")</f>
        <v>0</v>
      </c>
      <c r="C28" s="53">
        <f>COUNTIFS(STUDENTDATA!$A:$A, "7", STUDENTDATA!$F:$F, "SC",  STUDENTDATA!$K:$K, "B")</f>
        <v>0</v>
      </c>
      <c r="D28" s="53">
        <f>COUNTIFS(STUDENTDATA!$A:$A, "7", STUDENTDATA!$F:$F, "SC",  STUDENTDATA!$K:$K, "C")</f>
        <v>0</v>
      </c>
      <c r="E28" s="53">
        <f>COUNTIFS(STUDENTDATA!$A:$A, "7", STUDENTDATA!$F:$F, "SC",  STUDENTDATA!$K:$K, "D")</f>
        <v>0</v>
      </c>
      <c r="F28" s="53">
        <f>COUNTIFS(STUDENTDATA!$A:$A, "7", STUDENTDATA!$F:$F, "SC",  STUDENTDATA!$K:$K, "E")</f>
        <v>0</v>
      </c>
      <c r="G28" s="53">
        <f>B28+C28+D28+E28+F28</f>
        <v>0</v>
      </c>
      <c r="H28" s="53">
        <f>COUNTIFS(STUDENTDATA!$A:$A, "7", STUDENTDATA!$F:$F, "ST",  STUDENTDATA!$K:$K, "A")</f>
        <v>0</v>
      </c>
      <c r="I28" s="53">
        <f>COUNTIFS(STUDENTDATA!$A:$A, "7", STUDENTDATA!$F:$F, "ST",  STUDENTDATA!$K:$K, "B")</f>
        <v>0</v>
      </c>
      <c r="J28" s="53">
        <f>COUNTIFS(STUDENTDATA!$A:$A, "7", STUDENTDATA!$F:$F, "ST",  STUDENTDATA!$K:$K, "C")</f>
        <v>0</v>
      </c>
      <c r="K28" s="53">
        <f>COUNTIFS(STUDENTDATA!$A:$A, "7", STUDENTDATA!$F:$F, "ST",  STUDENTDATA!$K:$K, "D")</f>
        <v>0</v>
      </c>
      <c r="L28" s="53">
        <f>COUNTIFS(STUDENTDATA!$A:$A, "7", STUDENTDATA!$F:$F, "ST",  STUDENTDATA!$K:$K, "E")</f>
        <v>0</v>
      </c>
      <c r="M28" s="53">
        <f t="shared" ref="M28" si="48">H28+I28+J28+K28+L28</f>
        <v>0</v>
      </c>
      <c r="N28" s="53">
        <f>COUNTIFS(STUDENTDATA!$A:$A, "7", STUDENTDATA!$F:$F, "OBC",  STUDENTDATA!$K:$K, "A")</f>
        <v>0</v>
      </c>
      <c r="O28" s="53">
        <f>COUNTIFS(STUDENTDATA!$A:$A, "7", STUDENTDATA!$F:$F, "OBC",  STUDENTDATA!$K:$K, "B")</f>
        <v>0</v>
      </c>
      <c r="P28" s="53">
        <f>COUNTIFS(STUDENTDATA!$A:$A, "7", STUDENTDATA!$F:$F, "OBC",  STUDENTDATA!$K:$K, "C")</f>
        <v>0</v>
      </c>
      <c r="Q28" s="53">
        <f>COUNTIFS(STUDENTDATA!$A:$A, "7", STUDENTDATA!$F:$F, "OBC",  STUDENTDATA!$K:$K, "D")</f>
        <v>0</v>
      </c>
      <c r="R28" s="53">
        <f>COUNTIFS(STUDENTDATA!$A:$A, "7", STUDENTDATA!$F:$F, "OBC",  STUDENTDATA!$K:$K, "E")</f>
        <v>0</v>
      </c>
      <c r="S28" s="53">
        <f t="shared" ref="S28" si="49">N28+O28+P28+Q28+R28</f>
        <v>0</v>
      </c>
      <c r="T28" s="53">
        <f>COUNTIFS(STUDENTDATA!$A:$A, "7", STUDENTDATA!$F:$F, "SBC",  STUDENTDATA!$K:$K, "A")</f>
        <v>0</v>
      </c>
      <c r="U28" s="53">
        <f>COUNTIFS(STUDENTDATA!$A:$A, "7", STUDENTDATA!$F:$F, "SBC",  STUDENTDATA!$K:$K, "B")</f>
        <v>0</v>
      </c>
      <c r="V28" s="53">
        <f>COUNTIFS(STUDENTDATA!$A:$A, "7", STUDENTDATA!$F:$F, "SBC",  STUDENTDATA!$K:$K, "C")</f>
        <v>0</v>
      </c>
      <c r="W28" s="53">
        <f>COUNTIFS(STUDENTDATA!$A:$A, "7", STUDENTDATA!$F:$F, "SBC",  STUDENTDATA!$K:$K, "D")</f>
        <v>0</v>
      </c>
      <c r="X28" s="53">
        <f>COUNTIFS(STUDENTDATA!$A:$A, "7", STUDENTDATA!$F:$F, "SBC",  STUDENTDATA!$K:$K, "E")</f>
        <v>0</v>
      </c>
      <c r="Y28" s="53">
        <f t="shared" ref="Y28" si="50">T28+U28+V28+W28+X28</f>
        <v>0</v>
      </c>
      <c r="Z28" s="53">
        <f>COUNTIFS(STUDENTDATA!$A:$A, "7", STUDENTDATA!$F:$F, "GEN",  STUDENTDATA!$K:$K, "A")</f>
        <v>0</v>
      </c>
      <c r="AA28" s="53">
        <f>COUNTIFS(STUDENTDATA!$A:$A, "7", STUDENTDATA!$F:$F, "GEN",  STUDENTDATA!$K:$K, "B")</f>
        <v>0</v>
      </c>
      <c r="AB28" s="53">
        <f>COUNTIFS(STUDENTDATA!$A:$A, "7", STUDENTDATA!$F:$F, "GEN",  STUDENTDATA!$K:$K, "C")</f>
        <v>0</v>
      </c>
      <c r="AC28" s="53">
        <f>COUNTIFS(STUDENTDATA!$A:$A, "7", STUDENTDATA!$F:$F, "GEN",  STUDENTDATA!$K:$K, "D")</f>
        <v>0</v>
      </c>
      <c r="AD28" s="53">
        <f>COUNTIFS(STUDENTDATA!$A:$A, "7", STUDENTDATA!$F:$F, "GEN",  STUDENTDATA!$K:$K, "E")</f>
        <v>0</v>
      </c>
      <c r="AE28" s="53">
        <f t="shared" ref="AE28" si="51">Z28+AA28+AB28+AC28+AD28</f>
        <v>0</v>
      </c>
      <c r="AF28" s="53">
        <f>COUNTIFS(STUDENTDATA!$A:$A, "7", STUDENTDATA!$F:$F, "MIN",  STUDENTDATA!$K:$K, "A")</f>
        <v>0</v>
      </c>
      <c r="AG28" s="53">
        <f>COUNTIFS(STUDENTDATA!$A:$A, "7", STUDENTDATA!$F:$F, "MIN",  STUDENTDATA!$K:$K, "B")</f>
        <v>0</v>
      </c>
      <c r="AH28" s="53">
        <f>COUNTIFS(STUDENTDATA!$A:$A, "7", STUDENTDATA!$F:$F, "MIN",  STUDENTDATA!$K:$K, "C")</f>
        <v>0</v>
      </c>
      <c r="AI28" s="53">
        <f>COUNTIFS(STUDENTDATA!$A:$A, "7", STUDENTDATA!$F:$F, "MIN",  STUDENTDATA!$K:$K, "D")</f>
        <v>0</v>
      </c>
      <c r="AJ28" s="53">
        <f>COUNTIFS(STUDENTDATA!$A:$A, "7", STUDENTDATA!$F:$F, "MIN",  STUDENTDATA!$K:$K, "E")</f>
        <v>0</v>
      </c>
      <c r="AK28" s="53">
        <f t="shared" ref="AK28" si="52">AF28+AG28+AH28+AI28+AJ28</f>
        <v>0</v>
      </c>
      <c r="AL28" s="53">
        <f>COUNTIFS(STUDENTDATA!$A:$A, "7",  STUDENTDATA!$K:$K, "A")</f>
        <v>0</v>
      </c>
      <c r="AM28" s="53">
        <f>COUNTIFS(STUDENTDATA!$A:$A, "7",  STUDENTDATA!$K:$K, "B")</f>
        <v>0</v>
      </c>
      <c r="AN28" s="53">
        <f>COUNTIFS(STUDENTDATA!$A:$A, "7",  STUDENTDATA!$K:$K, "C")</f>
        <v>0</v>
      </c>
      <c r="AO28" s="53">
        <f>COUNTIFS(STUDENTDATA!$A:$A, "7",  STUDENTDATA!$K:$K, "D")</f>
        <v>0</v>
      </c>
      <c r="AP28" s="53">
        <f>COUNTIFS(STUDENTDATA!$A:$A, "7",  STUDENTDATA!$K:$K, "E")</f>
        <v>0</v>
      </c>
      <c r="AQ28" s="53">
        <f t="shared" ref="AQ28" si="53">AL28+AM28+AN28+AO28+AP28</f>
        <v>0</v>
      </c>
    </row>
    <row r="29" spans="1:43" ht="26.25" customHeight="1" x14ac:dyDescent="0.25">
      <c r="A29" s="146"/>
      <c r="B29" s="106" t="str">
        <f ca="1">IF(LIFAFA3!$F$8=0, "", TEXT(G28/LIFAFA3!$F$8, "0.00%"))</f>
        <v/>
      </c>
      <c r="C29" s="107"/>
      <c r="D29" s="107"/>
      <c r="E29" s="107"/>
      <c r="F29" s="107"/>
      <c r="G29" s="108"/>
      <c r="H29" s="106" t="str">
        <f ca="1">IF(LIFAFA3!$I$8=0, "", TEXT(M28/LIFAFA3!$I$8, "0.00%"))</f>
        <v/>
      </c>
      <c r="I29" s="107"/>
      <c r="J29" s="107"/>
      <c r="K29" s="107"/>
      <c r="L29" s="107"/>
      <c r="M29" s="108"/>
      <c r="N29" s="106" t="str">
        <f ca="1">IF(LIFAFA3!$L$8=0, "", TEXT(S28/LIFAFA3!$L$8, "0.00%"))</f>
        <v/>
      </c>
      <c r="O29" s="107"/>
      <c r="P29" s="107"/>
      <c r="Q29" s="107"/>
      <c r="R29" s="107"/>
      <c r="S29" s="108"/>
      <c r="T29" s="106" t="str">
        <f ca="1">IF(LIFAFA3!$O$8=0, "", TEXT(Y28/LIFAFA3!$O$8, "0.00%"))</f>
        <v/>
      </c>
      <c r="U29" s="107"/>
      <c r="V29" s="107"/>
      <c r="W29" s="107"/>
      <c r="X29" s="107"/>
      <c r="Y29" s="108"/>
      <c r="Z29" s="106" t="str">
        <f ca="1">IF(LIFAFA3!$R$8=0, "", TEXT(AE28/LIFAFA3!$R$8, "0.00%"))</f>
        <v/>
      </c>
      <c r="AA29" s="107"/>
      <c r="AB29" s="107"/>
      <c r="AC29" s="107"/>
      <c r="AD29" s="107"/>
      <c r="AE29" s="108"/>
      <c r="AF29" s="106" t="str">
        <f ca="1">IF(LIFAFA3!$U$8=0, "", TEXT(AK28/LIFAFA3!$U$8, "0.00%"))</f>
        <v/>
      </c>
      <c r="AG29" s="107"/>
      <c r="AH29" s="107"/>
      <c r="AI29" s="107"/>
      <c r="AJ29" s="107"/>
      <c r="AK29" s="108"/>
      <c r="AL29" s="106" t="str">
        <f ca="1">IF(LIFAFA3!$X$8=0, "", TEXT(AQ28/LIFAFA3!$X$8, "0.00%"))</f>
        <v/>
      </c>
      <c r="AM29" s="107"/>
      <c r="AN29" s="107"/>
      <c r="AO29" s="107"/>
      <c r="AP29" s="107"/>
      <c r="AQ29" s="108"/>
    </row>
    <row r="30" spans="1:43" ht="26.25" customHeight="1" x14ac:dyDescent="0.25">
      <c r="A30" s="145" t="str">
        <f>STUDENTDATA!$L$1</f>
        <v xml:space="preserve">विज्ञान </v>
      </c>
      <c r="B30" s="53">
        <f>COUNTIFS(STUDENTDATA!$A:$A, "7", STUDENTDATA!$F:$F, "SC",  STUDENTDATA!$L:$L, "A")</f>
        <v>0</v>
      </c>
      <c r="C30" s="53">
        <f>COUNTIFS(STUDENTDATA!$A:$A, "7", STUDENTDATA!$F:$F, "SC",  STUDENTDATA!$L:$L, "B")</f>
        <v>0</v>
      </c>
      <c r="D30" s="53">
        <f>COUNTIFS(STUDENTDATA!$A:$A, "7", STUDENTDATA!$F:$F, "SC",  STUDENTDATA!$L:$L, "C")</f>
        <v>0</v>
      </c>
      <c r="E30" s="53">
        <f>COUNTIFS(STUDENTDATA!$A:$A, "7", STUDENTDATA!$F:$F, "SC",  STUDENTDATA!$L:$L, "D")</f>
        <v>0</v>
      </c>
      <c r="F30" s="53">
        <f>COUNTIFS(STUDENTDATA!$A:$A, "7", STUDENTDATA!$F:$F, "SC",  STUDENTDATA!$L:$L, "E")</f>
        <v>0</v>
      </c>
      <c r="G30" s="53">
        <f>B30+C30+D30+E30+F30</f>
        <v>0</v>
      </c>
      <c r="H30" s="53">
        <f>COUNTIFS(STUDENTDATA!$A:$A, "7", STUDENTDATA!$F:$F, "ST",  STUDENTDATA!$L:$L, "A")</f>
        <v>0</v>
      </c>
      <c r="I30" s="53">
        <f>COUNTIFS(STUDENTDATA!$A:$A, "7", STUDENTDATA!$F:$F, "ST",  STUDENTDATA!$L:$L, "B")</f>
        <v>0</v>
      </c>
      <c r="J30" s="53">
        <f>COUNTIFS(STUDENTDATA!$A:$A, "7", STUDENTDATA!$F:$F, "ST",  STUDENTDATA!$L:$L, "C")</f>
        <v>0</v>
      </c>
      <c r="K30" s="53">
        <f>COUNTIFS(STUDENTDATA!$A:$A, "7", STUDENTDATA!$F:$F, "ST",  STUDENTDATA!$L:$L, "D")</f>
        <v>0</v>
      </c>
      <c r="L30" s="53">
        <f>COUNTIFS(STUDENTDATA!$A:$A, "7", STUDENTDATA!$F:$F, "ST",  STUDENTDATA!$L:$L, "E")</f>
        <v>0</v>
      </c>
      <c r="M30" s="53">
        <f t="shared" ref="M30" si="54">H30+I30+J30+K30+L30</f>
        <v>0</v>
      </c>
      <c r="N30" s="53">
        <f>COUNTIFS(STUDENTDATA!$A:$A, "7", STUDENTDATA!$F:$F, "OBC",  STUDENTDATA!$L:$L, "A")</f>
        <v>0</v>
      </c>
      <c r="O30" s="53">
        <f>COUNTIFS(STUDENTDATA!$A:$A, "7", STUDENTDATA!$F:$F, "OBC",  STUDENTDATA!$L:$L, "B")</f>
        <v>0</v>
      </c>
      <c r="P30" s="53">
        <f>COUNTIFS(STUDENTDATA!$A:$A, "7", STUDENTDATA!$F:$F, "OBC",  STUDENTDATA!$L:$L, "C")</f>
        <v>0</v>
      </c>
      <c r="Q30" s="53">
        <f>COUNTIFS(STUDENTDATA!$A:$A, "7", STUDENTDATA!$F:$F, "OBC",  STUDENTDATA!$L:$L, "D")</f>
        <v>0</v>
      </c>
      <c r="R30" s="53">
        <f>COUNTIFS(STUDENTDATA!$A:$A, "7", STUDENTDATA!$F:$F, "OBC",  STUDENTDATA!$L:$L, "E")</f>
        <v>0</v>
      </c>
      <c r="S30" s="53">
        <f t="shared" ref="S30" si="55">N30+O30+P30+Q30+R30</f>
        <v>0</v>
      </c>
      <c r="T30" s="53">
        <f>COUNTIFS(STUDENTDATA!$A:$A, "7", STUDENTDATA!$F:$F, "SBC",  STUDENTDATA!$L:$L, "A")</f>
        <v>0</v>
      </c>
      <c r="U30" s="53">
        <f>COUNTIFS(STUDENTDATA!$A:$A, "7", STUDENTDATA!$F:$F, "SBC",  STUDENTDATA!$L:$L, "B")</f>
        <v>0</v>
      </c>
      <c r="V30" s="53">
        <f>COUNTIFS(STUDENTDATA!$A:$A, "7", STUDENTDATA!$F:$F, "SBC",  STUDENTDATA!$L:$L, "C")</f>
        <v>0</v>
      </c>
      <c r="W30" s="53">
        <f>COUNTIFS(STUDENTDATA!$A:$A, "7", STUDENTDATA!$F:$F, "SBC",  STUDENTDATA!$L:$L, "D")</f>
        <v>0</v>
      </c>
      <c r="X30" s="53">
        <f>COUNTIFS(STUDENTDATA!$A:$A, "7", STUDENTDATA!$F:$F, "SBC",  STUDENTDATA!$L:$L, "E")</f>
        <v>0</v>
      </c>
      <c r="Y30" s="53">
        <f t="shared" ref="Y30" si="56">T30+U30+V30+W30+X30</f>
        <v>0</v>
      </c>
      <c r="Z30" s="53">
        <f>COUNTIFS(STUDENTDATA!$A:$A, "7", STUDENTDATA!$F:$F, "GEN",  STUDENTDATA!$L:$L, "A")</f>
        <v>0</v>
      </c>
      <c r="AA30" s="53">
        <f>COUNTIFS(STUDENTDATA!$A:$A, "7", STUDENTDATA!$F:$F, "GEN",  STUDENTDATA!$L:$L, "B")</f>
        <v>0</v>
      </c>
      <c r="AB30" s="53">
        <f>COUNTIFS(STUDENTDATA!$A:$A, "7", STUDENTDATA!$F:$F, "GEN",  STUDENTDATA!$L:$L, "C")</f>
        <v>0</v>
      </c>
      <c r="AC30" s="53">
        <f>COUNTIFS(STUDENTDATA!$A:$A, "7", STUDENTDATA!$F:$F, "GEN",  STUDENTDATA!$L:$L, "D")</f>
        <v>0</v>
      </c>
      <c r="AD30" s="53">
        <f>COUNTIFS(STUDENTDATA!$A:$A, "7", STUDENTDATA!$F:$F, "GEN",  STUDENTDATA!$L:$L, "E")</f>
        <v>0</v>
      </c>
      <c r="AE30" s="53">
        <f t="shared" ref="AE30" si="57">Z30+AA30+AB30+AC30+AD30</f>
        <v>0</v>
      </c>
      <c r="AF30" s="53">
        <f>COUNTIFS(STUDENTDATA!$A:$A, "7", STUDENTDATA!$F:$F, "MIN",  STUDENTDATA!$L:$L, "A")</f>
        <v>0</v>
      </c>
      <c r="AG30" s="53">
        <f>COUNTIFS(STUDENTDATA!$A:$A, "7", STUDENTDATA!$F:$F, "MIN",  STUDENTDATA!$L:$L, "B")</f>
        <v>0</v>
      </c>
      <c r="AH30" s="53">
        <f>COUNTIFS(STUDENTDATA!$A:$A, "7", STUDENTDATA!$F:$F, "MIN",  STUDENTDATA!$L:$L, "C")</f>
        <v>0</v>
      </c>
      <c r="AI30" s="53">
        <f>COUNTIFS(STUDENTDATA!$A:$A, "7", STUDENTDATA!$F:$F, "MIN",  STUDENTDATA!$L:$L, "D")</f>
        <v>0</v>
      </c>
      <c r="AJ30" s="53">
        <f>COUNTIFS(STUDENTDATA!$A:$A, "7", STUDENTDATA!$F:$F, "MIN",  STUDENTDATA!$L:$L, "E")</f>
        <v>0</v>
      </c>
      <c r="AK30" s="53">
        <f t="shared" ref="AK30" si="58">AF30+AG30+AH30+AI30+AJ30</f>
        <v>0</v>
      </c>
      <c r="AL30" s="53">
        <f>COUNTIFS(STUDENTDATA!$A:$A, "7",  STUDENTDATA!$L:$L, "A")</f>
        <v>0</v>
      </c>
      <c r="AM30" s="53">
        <f>COUNTIFS(STUDENTDATA!$A:$A, "7",  STUDENTDATA!$L:$L, "B")</f>
        <v>0</v>
      </c>
      <c r="AN30" s="53">
        <f>COUNTIFS(STUDENTDATA!$A:$A, "7",  STUDENTDATA!$L:$L, "C")</f>
        <v>0</v>
      </c>
      <c r="AO30" s="53">
        <f>COUNTIFS(STUDENTDATA!$A:$A, "7",  STUDENTDATA!$L:$L, "D")</f>
        <v>0</v>
      </c>
      <c r="AP30" s="53">
        <f>COUNTIFS(STUDENTDATA!$A:$A, "7",  STUDENTDATA!$L:$L, "E")</f>
        <v>0</v>
      </c>
      <c r="AQ30" s="53">
        <f t="shared" ref="AQ30" si="59">AL30+AM30+AN30+AO30+AP30</f>
        <v>0</v>
      </c>
    </row>
    <row r="31" spans="1:43" ht="26.25" customHeight="1" x14ac:dyDescent="0.25">
      <c r="A31" s="146"/>
      <c r="B31" s="106" t="str">
        <f ca="1">IF(LIFAFA3!$F$8=0, "", TEXT(G30/LIFAFA3!$F$8, "0.00%"))</f>
        <v/>
      </c>
      <c r="C31" s="107"/>
      <c r="D31" s="107"/>
      <c r="E31" s="107"/>
      <c r="F31" s="107"/>
      <c r="G31" s="108"/>
      <c r="H31" s="106" t="str">
        <f ca="1">IF(LIFAFA3!$I$8=0, "", TEXT(M30/LIFAFA3!$I$8, "0.00%"))</f>
        <v/>
      </c>
      <c r="I31" s="107"/>
      <c r="J31" s="107"/>
      <c r="K31" s="107"/>
      <c r="L31" s="107"/>
      <c r="M31" s="108"/>
      <c r="N31" s="106" t="str">
        <f ca="1">IF(LIFAFA3!$L$8=0, "", TEXT(S30/LIFAFA3!$L$8, "0.00%"))</f>
        <v/>
      </c>
      <c r="O31" s="107"/>
      <c r="P31" s="107"/>
      <c r="Q31" s="107"/>
      <c r="R31" s="107"/>
      <c r="S31" s="108"/>
      <c r="T31" s="106" t="str">
        <f ca="1">IF(LIFAFA3!$O$8=0, "", TEXT(Y30/LIFAFA3!$O$8, "0.00%"))</f>
        <v/>
      </c>
      <c r="U31" s="107"/>
      <c r="V31" s="107"/>
      <c r="W31" s="107"/>
      <c r="X31" s="107"/>
      <c r="Y31" s="108"/>
      <c r="Z31" s="106" t="str">
        <f ca="1">IF(LIFAFA3!$R$8=0, "", TEXT(AE30/LIFAFA3!$R$8, "0.00%"))</f>
        <v/>
      </c>
      <c r="AA31" s="107"/>
      <c r="AB31" s="107"/>
      <c r="AC31" s="107"/>
      <c r="AD31" s="107"/>
      <c r="AE31" s="108"/>
      <c r="AF31" s="106" t="str">
        <f ca="1">IF(LIFAFA3!$U$8=0, "", TEXT(AK30/LIFAFA3!$U$8, "0.00%"))</f>
        <v/>
      </c>
      <c r="AG31" s="107"/>
      <c r="AH31" s="107"/>
      <c r="AI31" s="107"/>
      <c r="AJ31" s="107"/>
      <c r="AK31" s="108"/>
      <c r="AL31" s="106" t="str">
        <f ca="1">IF(LIFAFA3!$X$8=0, "", TEXT(AQ30/LIFAFA3!$X$8, "0.00%"))</f>
        <v/>
      </c>
      <c r="AM31" s="107"/>
      <c r="AN31" s="107"/>
      <c r="AO31" s="107"/>
      <c r="AP31" s="107"/>
      <c r="AQ31" s="108"/>
    </row>
    <row r="32" spans="1:43" ht="26.25" customHeight="1" x14ac:dyDescent="0.25">
      <c r="A32" s="145" t="str">
        <f>STUDENTDATA!$M$1</f>
        <v xml:space="preserve">संस्कृत </v>
      </c>
      <c r="B32" s="53">
        <f>COUNTIFS(STUDENTDATA!$A:$A, "7", STUDENTDATA!$F:$F, "SC",  STUDENTDATA!$M:$M, "A")</f>
        <v>0</v>
      </c>
      <c r="C32" s="53">
        <f>COUNTIFS(STUDENTDATA!$A:$A, "7", STUDENTDATA!$F:$F, "SC",  STUDENTDATA!$M:$M, "B")</f>
        <v>0</v>
      </c>
      <c r="D32" s="53">
        <f>COUNTIFS(STUDENTDATA!$A:$A, "7", STUDENTDATA!$F:$F, "SC",  STUDENTDATA!$M:$M, "C")</f>
        <v>0</v>
      </c>
      <c r="E32" s="53">
        <f>COUNTIFS(STUDENTDATA!$A:$A, "7", STUDENTDATA!$F:$F, "SC",  STUDENTDATA!$M:$M, "D")</f>
        <v>0</v>
      </c>
      <c r="F32" s="53">
        <f>COUNTIFS(STUDENTDATA!$A:$A, "7", STUDENTDATA!$F:$F, "SC",  STUDENTDATA!$M:$M, "E")</f>
        <v>0</v>
      </c>
      <c r="G32" s="53">
        <f>B32+C32+D32+E32+F32</f>
        <v>0</v>
      </c>
      <c r="H32" s="53">
        <f>COUNTIFS(STUDENTDATA!$A:$A, "7", STUDENTDATA!$F:$F, "ST",  STUDENTDATA!$M:$M, "A")</f>
        <v>0</v>
      </c>
      <c r="I32" s="53">
        <f>COUNTIFS(STUDENTDATA!$A:$A, "7", STUDENTDATA!$F:$F, "ST",  STUDENTDATA!$M:$M, "B")</f>
        <v>0</v>
      </c>
      <c r="J32" s="53">
        <f>COUNTIFS(STUDENTDATA!$A:$A, "7", STUDENTDATA!$F:$F, "ST",  STUDENTDATA!$M:$M, "C")</f>
        <v>0</v>
      </c>
      <c r="K32" s="53">
        <f>COUNTIFS(STUDENTDATA!$A:$A, "7", STUDENTDATA!$F:$F, "ST",  STUDENTDATA!$M:$M, "D")</f>
        <v>0</v>
      </c>
      <c r="L32" s="53">
        <f>COUNTIFS(STUDENTDATA!$A:$A, "7", STUDENTDATA!$F:$F, "ST",  STUDENTDATA!$M:$M, "E")</f>
        <v>0</v>
      </c>
      <c r="M32" s="53">
        <f t="shared" ref="M32" si="60">H32+I32+J32+K32+L32</f>
        <v>0</v>
      </c>
      <c r="N32" s="53">
        <f>COUNTIFS(STUDENTDATA!$A:$A, "7", STUDENTDATA!$F:$F, "OBC",  STUDENTDATA!$M:$M, "A")</f>
        <v>0</v>
      </c>
      <c r="O32" s="53">
        <f>COUNTIFS(STUDENTDATA!$A:$A, "7", STUDENTDATA!$F:$F, "OBC",  STUDENTDATA!$M:$M, "B")</f>
        <v>0</v>
      </c>
      <c r="P32" s="53">
        <f>COUNTIFS(STUDENTDATA!$A:$A, "7", STUDENTDATA!$F:$F, "OBC",  STUDENTDATA!$M:$M, "C")</f>
        <v>0</v>
      </c>
      <c r="Q32" s="53">
        <f>COUNTIFS(STUDENTDATA!$A:$A, "7", STUDENTDATA!$F:$F, "OBC",  STUDENTDATA!$M:$M, "D")</f>
        <v>0</v>
      </c>
      <c r="R32" s="53">
        <f>COUNTIFS(STUDENTDATA!$A:$A, "7", STUDENTDATA!$F:$F, "OBC",  STUDENTDATA!$M:$M, "E")</f>
        <v>0</v>
      </c>
      <c r="S32" s="53">
        <f t="shared" ref="S32" si="61">N32+O32+P32+Q32+R32</f>
        <v>0</v>
      </c>
      <c r="T32" s="53">
        <f>COUNTIFS(STUDENTDATA!$A:$A, "7", STUDENTDATA!$F:$F, "SBC",  STUDENTDATA!$M:$M, "A")</f>
        <v>0</v>
      </c>
      <c r="U32" s="53">
        <f>COUNTIFS(STUDENTDATA!$A:$A, "7", STUDENTDATA!$F:$F, "SBC",  STUDENTDATA!$M:$M, "B")</f>
        <v>0</v>
      </c>
      <c r="V32" s="53">
        <f>COUNTIFS(STUDENTDATA!$A:$A, "7", STUDENTDATA!$F:$F, "SBC",  STUDENTDATA!$M:$M, "C")</f>
        <v>0</v>
      </c>
      <c r="W32" s="53">
        <f>COUNTIFS(STUDENTDATA!$A:$A, "7", STUDENTDATA!$F:$F, "SBC",  STUDENTDATA!$M:$M, "D")</f>
        <v>0</v>
      </c>
      <c r="X32" s="53">
        <f>COUNTIFS(STUDENTDATA!$A:$A, "7", STUDENTDATA!$F:$F, "SBC",  STUDENTDATA!$M:$M, "E")</f>
        <v>0</v>
      </c>
      <c r="Y32" s="53">
        <f t="shared" ref="Y32" si="62">T32+U32+V32+W32+X32</f>
        <v>0</v>
      </c>
      <c r="Z32" s="53">
        <f>COUNTIFS(STUDENTDATA!$A:$A, "7", STUDENTDATA!$F:$F, "GEN",  STUDENTDATA!$M:$M, "A")</f>
        <v>0</v>
      </c>
      <c r="AA32" s="53">
        <f>COUNTIFS(STUDENTDATA!$A:$A, "7", STUDENTDATA!$F:$F, "GEN",  STUDENTDATA!$M:$M, "B")</f>
        <v>0</v>
      </c>
      <c r="AB32" s="53">
        <f>COUNTIFS(STUDENTDATA!$A:$A, "7", STUDENTDATA!$F:$F, "GEN",  STUDENTDATA!$M:$M, "C")</f>
        <v>0</v>
      </c>
      <c r="AC32" s="53">
        <f>COUNTIFS(STUDENTDATA!$A:$A, "7", STUDENTDATA!$F:$F, "GEN",  STUDENTDATA!$M:$M, "D")</f>
        <v>0</v>
      </c>
      <c r="AD32" s="53">
        <f>COUNTIFS(STUDENTDATA!$A:$A, "7", STUDENTDATA!$F:$F, "GEN",  STUDENTDATA!$M:$M, "E")</f>
        <v>0</v>
      </c>
      <c r="AE32" s="53">
        <f t="shared" ref="AE32" si="63">Z32+AA32+AB32+AC32+AD32</f>
        <v>0</v>
      </c>
      <c r="AF32" s="53">
        <f>COUNTIFS(STUDENTDATA!$A:$A, "7", STUDENTDATA!$F:$F, "MIN",  STUDENTDATA!$M:$M, "A")</f>
        <v>0</v>
      </c>
      <c r="AG32" s="53">
        <f>COUNTIFS(STUDENTDATA!$A:$A, "7", STUDENTDATA!$F:$F, "MIN",  STUDENTDATA!$M:$M, "B")</f>
        <v>0</v>
      </c>
      <c r="AH32" s="53">
        <f>COUNTIFS(STUDENTDATA!$A:$A, "7", STUDENTDATA!$F:$F, "MIN",  STUDENTDATA!$M:$M, "C")</f>
        <v>0</v>
      </c>
      <c r="AI32" s="53">
        <f>COUNTIFS(STUDENTDATA!$A:$A, "7", STUDENTDATA!$F:$F, "MIN",  STUDENTDATA!$M:$M, "D")</f>
        <v>0</v>
      </c>
      <c r="AJ32" s="53">
        <f>COUNTIFS(STUDENTDATA!$A:$A, "7", STUDENTDATA!$F:$F, "MIN",  STUDENTDATA!$M:$M, "E")</f>
        <v>0</v>
      </c>
      <c r="AK32" s="53">
        <f t="shared" ref="AK32" si="64">AF32+AG32+AH32+AI32+AJ32</f>
        <v>0</v>
      </c>
      <c r="AL32" s="53">
        <f>COUNTIFS(STUDENTDATA!$A:$A, "7",  STUDENTDATA!$M:$M, "A")</f>
        <v>0</v>
      </c>
      <c r="AM32" s="53">
        <f>COUNTIFS(STUDENTDATA!$A:$A, "7",  STUDENTDATA!$M:$M, "B")</f>
        <v>0</v>
      </c>
      <c r="AN32" s="53">
        <f>COUNTIFS(STUDENTDATA!$A:$A, "7",  STUDENTDATA!$M:$M, "C")</f>
        <v>0</v>
      </c>
      <c r="AO32" s="53">
        <f>COUNTIFS(STUDENTDATA!$A:$A, "7",  STUDENTDATA!$M:$M, "D")</f>
        <v>0</v>
      </c>
      <c r="AP32" s="53">
        <f>COUNTIFS(STUDENTDATA!$A:$A, "7",  STUDENTDATA!$M:$M, "E")</f>
        <v>0</v>
      </c>
      <c r="AQ32" s="53">
        <f t="shared" ref="AQ32" si="65">AL32+AM32+AN32+AO32+AP32</f>
        <v>0</v>
      </c>
    </row>
    <row r="33" spans="1:43" ht="26.25" customHeight="1" x14ac:dyDescent="0.25">
      <c r="A33" s="146"/>
      <c r="B33" s="106" t="str">
        <f ca="1">IF(LIFAFA3!$F$8=0, "", TEXT(G32/LIFAFA3!$F$8, "0.00%"))</f>
        <v/>
      </c>
      <c r="C33" s="107"/>
      <c r="D33" s="107"/>
      <c r="E33" s="107"/>
      <c r="F33" s="107"/>
      <c r="G33" s="108"/>
      <c r="H33" s="106" t="str">
        <f ca="1">IF(LIFAFA3!$I$8=0, "", TEXT(M32/LIFAFA3!$I$8, "0.00%"))</f>
        <v/>
      </c>
      <c r="I33" s="107"/>
      <c r="J33" s="107"/>
      <c r="K33" s="107"/>
      <c r="L33" s="107"/>
      <c r="M33" s="108"/>
      <c r="N33" s="106" t="str">
        <f ca="1">IF(LIFAFA3!$L$8=0, "", TEXT(S32/LIFAFA3!$L$8, "0.00%"))</f>
        <v/>
      </c>
      <c r="O33" s="107"/>
      <c r="P33" s="107"/>
      <c r="Q33" s="107"/>
      <c r="R33" s="107"/>
      <c r="S33" s="108"/>
      <c r="T33" s="106" t="str">
        <f ca="1">IF(LIFAFA3!$O$8=0, "", TEXT(Y32/LIFAFA3!$O$8, "0.00%"))</f>
        <v/>
      </c>
      <c r="U33" s="107"/>
      <c r="V33" s="107"/>
      <c r="W33" s="107"/>
      <c r="X33" s="107"/>
      <c r="Y33" s="108"/>
      <c r="Z33" s="106" t="str">
        <f ca="1">IF(LIFAFA3!$R$8=0, "", TEXT(AE32/LIFAFA3!$R$8, "0.00%"))</f>
        <v/>
      </c>
      <c r="AA33" s="107"/>
      <c r="AB33" s="107"/>
      <c r="AC33" s="107"/>
      <c r="AD33" s="107"/>
      <c r="AE33" s="108"/>
      <c r="AF33" s="106" t="str">
        <f ca="1">IF(LIFAFA3!$U$8=0, "", TEXT(AK32/LIFAFA3!$U$8, "0.00%"))</f>
        <v/>
      </c>
      <c r="AG33" s="107"/>
      <c r="AH33" s="107"/>
      <c r="AI33" s="107"/>
      <c r="AJ33" s="107"/>
      <c r="AK33" s="108"/>
      <c r="AL33" s="106" t="str">
        <f ca="1">IF(LIFAFA3!$X$8=0, "", TEXT(AQ32/LIFAFA3!$X$8, "0.00%"))</f>
        <v/>
      </c>
      <c r="AM33" s="107"/>
      <c r="AN33" s="107"/>
      <c r="AO33" s="107"/>
      <c r="AP33" s="107"/>
      <c r="AQ33" s="108"/>
    </row>
    <row r="34" spans="1:43" ht="26.25" customHeight="1" x14ac:dyDescent="0.25">
      <c r="A34" s="145" t="str">
        <f>STUDENTDATA!$N$1</f>
        <v>सामाजिक विज्ञान</v>
      </c>
      <c r="B34" s="53">
        <f>COUNTIFS(STUDENTDATA!$A:$A, "7", STUDENTDATA!$F:$F, "SC",  STUDENTDATA!$N:$N, "A")</f>
        <v>0</v>
      </c>
      <c r="C34" s="53">
        <f>COUNTIFS(STUDENTDATA!$A:$A, "7", STUDENTDATA!$F:$F, "SC",  STUDENTDATA!$N:$N, "B")</f>
        <v>0</v>
      </c>
      <c r="D34" s="53">
        <f>COUNTIFS(STUDENTDATA!$A:$A, "7", STUDENTDATA!$F:$F, "SC",  STUDENTDATA!$N:$N, "C")</f>
        <v>0</v>
      </c>
      <c r="E34" s="53">
        <f>COUNTIFS(STUDENTDATA!$A:$A, "7", STUDENTDATA!$F:$F, "SC",  STUDENTDATA!$N:$N, "D")</f>
        <v>0</v>
      </c>
      <c r="F34" s="53">
        <f>COUNTIFS(STUDENTDATA!$A:$A, "7", STUDENTDATA!$F:$F, "SC",  STUDENTDATA!$N:$N, "E")</f>
        <v>0</v>
      </c>
      <c r="G34" s="53">
        <f>B34+C34+D34+E34+F34</f>
        <v>0</v>
      </c>
      <c r="H34" s="53">
        <f>COUNTIFS(STUDENTDATA!$A:$A, "7", STUDENTDATA!$F:$F, "ST",  STUDENTDATA!$N:$N, "A")</f>
        <v>0</v>
      </c>
      <c r="I34" s="53">
        <f>COUNTIFS(STUDENTDATA!$A:$A, "7", STUDENTDATA!$F:$F, "ST",  STUDENTDATA!$N:$N, "B")</f>
        <v>0</v>
      </c>
      <c r="J34" s="53">
        <f>COUNTIFS(STUDENTDATA!$A:$A, "7", STUDENTDATA!$F:$F, "ST",  STUDENTDATA!$N:$N, "C")</f>
        <v>0</v>
      </c>
      <c r="K34" s="53">
        <f>COUNTIFS(STUDENTDATA!$A:$A, "7", STUDENTDATA!$F:$F, "ST",  STUDENTDATA!$N:$N, "D")</f>
        <v>0</v>
      </c>
      <c r="L34" s="53">
        <f>COUNTIFS(STUDENTDATA!$A:$A, "7", STUDENTDATA!$F:$F, "ST",  STUDENTDATA!$N:$N, "E")</f>
        <v>0</v>
      </c>
      <c r="M34" s="53">
        <f t="shared" ref="M34" si="66">H34+I34+J34+K34+L34</f>
        <v>0</v>
      </c>
      <c r="N34" s="53">
        <f>COUNTIFS(STUDENTDATA!$A:$A, "7", STUDENTDATA!$F:$F, "OBC",  STUDENTDATA!$N:$N, "A")</f>
        <v>0</v>
      </c>
      <c r="O34" s="53">
        <f>COUNTIFS(STUDENTDATA!$A:$A, "7", STUDENTDATA!$F:$F, "OBC",  STUDENTDATA!$N:$N, "B")</f>
        <v>0</v>
      </c>
      <c r="P34" s="53">
        <f>COUNTIFS(STUDENTDATA!$A:$A, "7", STUDENTDATA!$F:$F, "OBC",  STUDENTDATA!$N:$N, "C")</f>
        <v>0</v>
      </c>
      <c r="Q34" s="53">
        <f>COUNTIFS(STUDENTDATA!$A:$A, "7", STUDENTDATA!$F:$F, "OBC",  STUDENTDATA!$N:$N, "D")</f>
        <v>0</v>
      </c>
      <c r="R34" s="53">
        <f>COUNTIFS(STUDENTDATA!$A:$A, "7", STUDENTDATA!$F:$F, "OBC",  STUDENTDATA!$N:$N, "E")</f>
        <v>0</v>
      </c>
      <c r="S34" s="53">
        <f t="shared" ref="S34" si="67">N34+O34+P34+Q34+R34</f>
        <v>0</v>
      </c>
      <c r="T34" s="53">
        <f>COUNTIFS(STUDENTDATA!$A:$A, "7", STUDENTDATA!$F:$F, "SBC",  STUDENTDATA!$N:$N, "A")</f>
        <v>0</v>
      </c>
      <c r="U34" s="53">
        <f>COUNTIFS(STUDENTDATA!$A:$A, "7", STUDENTDATA!$F:$F, "SBC",  STUDENTDATA!$N:$N, "B")</f>
        <v>0</v>
      </c>
      <c r="V34" s="53">
        <f>COUNTIFS(STUDENTDATA!$A:$A, "7", STUDENTDATA!$F:$F, "SBC",  STUDENTDATA!$N:$N, "C")</f>
        <v>0</v>
      </c>
      <c r="W34" s="53">
        <f>COUNTIFS(STUDENTDATA!$A:$A, "7", STUDENTDATA!$F:$F, "SBC",  STUDENTDATA!$N:$N, "D")</f>
        <v>0</v>
      </c>
      <c r="X34" s="53">
        <f>COUNTIFS(STUDENTDATA!$A:$A, "7", STUDENTDATA!$F:$F, "SBC",  STUDENTDATA!$N:$N, "E")</f>
        <v>0</v>
      </c>
      <c r="Y34" s="53">
        <f t="shared" ref="Y34" si="68">T34+U34+V34+W34+X34</f>
        <v>0</v>
      </c>
      <c r="Z34" s="53">
        <f>COUNTIFS(STUDENTDATA!$A:$A, "7", STUDENTDATA!$F:$F, "GEN",  STUDENTDATA!$N:$N, "A")</f>
        <v>0</v>
      </c>
      <c r="AA34" s="53">
        <f>COUNTIFS(STUDENTDATA!$A:$A, "7", STUDENTDATA!$F:$F, "GEN",  STUDENTDATA!$N:$N, "B")</f>
        <v>0</v>
      </c>
      <c r="AB34" s="53">
        <f>COUNTIFS(STUDENTDATA!$A:$A, "7", STUDENTDATA!$F:$F, "GEN",  STUDENTDATA!$N:$N, "C")</f>
        <v>0</v>
      </c>
      <c r="AC34" s="53">
        <f>COUNTIFS(STUDENTDATA!$A:$A, "7", STUDENTDATA!$F:$F, "GEN",  STUDENTDATA!$N:$N, "D")</f>
        <v>0</v>
      </c>
      <c r="AD34" s="53">
        <f>COUNTIFS(STUDENTDATA!$A:$A, "7", STUDENTDATA!$F:$F, "GEN",  STUDENTDATA!$N:$N, "E")</f>
        <v>0</v>
      </c>
      <c r="AE34" s="53">
        <f t="shared" ref="AE34" si="69">Z34+AA34+AB34+AC34+AD34</f>
        <v>0</v>
      </c>
      <c r="AF34" s="53">
        <f>COUNTIFS(STUDENTDATA!$A:$A, "7", STUDENTDATA!$F:$F, "MIN",  STUDENTDATA!$N:$N, "A")</f>
        <v>0</v>
      </c>
      <c r="AG34" s="53">
        <f>COUNTIFS(STUDENTDATA!$A:$A, "7", STUDENTDATA!$F:$F, "MIN",  STUDENTDATA!$N:$N, "B")</f>
        <v>0</v>
      </c>
      <c r="AH34" s="53">
        <f>COUNTIFS(STUDENTDATA!$A:$A, "7", STUDENTDATA!$F:$F, "MIN",  STUDENTDATA!$N:$N, "C")</f>
        <v>0</v>
      </c>
      <c r="AI34" s="53">
        <f>COUNTIFS(STUDENTDATA!$A:$A, "7", STUDENTDATA!$F:$F, "MIN",  STUDENTDATA!$N:$N, "D")</f>
        <v>0</v>
      </c>
      <c r="AJ34" s="53">
        <f>COUNTIFS(STUDENTDATA!$A:$A, "7", STUDENTDATA!$F:$F, "MIN",  STUDENTDATA!$N:$N, "E")</f>
        <v>0</v>
      </c>
      <c r="AK34" s="53">
        <f t="shared" ref="AK34" si="70">AF34+AG34+AH34+AI34+AJ34</f>
        <v>0</v>
      </c>
      <c r="AL34" s="53">
        <f>COUNTIFS(STUDENTDATA!$A:$A, "7",  STUDENTDATA!$N:$N, "A")</f>
        <v>0</v>
      </c>
      <c r="AM34" s="53">
        <f>COUNTIFS(STUDENTDATA!$A:$A, "7",  STUDENTDATA!$N:$N, "B")</f>
        <v>0</v>
      </c>
      <c r="AN34" s="53">
        <f>COUNTIFS(STUDENTDATA!$A:$A, "7",  STUDENTDATA!$N:$N, "C")</f>
        <v>0</v>
      </c>
      <c r="AO34" s="53">
        <f>COUNTIFS(STUDENTDATA!$A:$A, "7",  STUDENTDATA!$N:$N, "D")</f>
        <v>0</v>
      </c>
      <c r="AP34" s="53">
        <f>COUNTIFS(STUDENTDATA!$A:$A, "7",  STUDENTDATA!$N:$N, "E")</f>
        <v>0</v>
      </c>
      <c r="AQ34" s="53">
        <f t="shared" ref="AQ34" si="71">AL34+AM34+AN34+AO34+AP34</f>
        <v>0</v>
      </c>
    </row>
    <row r="35" spans="1:43" ht="26.25" customHeight="1" x14ac:dyDescent="0.25">
      <c r="A35" s="146"/>
      <c r="B35" s="106" t="str">
        <f ca="1">IF(LIFAFA3!$F$8=0, "", TEXT(G34/LIFAFA3!$F$8, "0.00%"))</f>
        <v/>
      </c>
      <c r="C35" s="107"/>
      <c r="D35" s="107"/>
      <c r="E35" s="107"/>
      <c r="F35" s="107"/>
      <c r="G35" s="108"/>
      <c r="H35" s="106" t="str">
        <f ca="1">IF(LIFAFA3!$I$8=0, "", TEXT(M34/LIFAFA3!$I$8, "0.00%"))</f>
        <v/>
      </c>
      <c r="I35" s="107"/>
      <c r="J35" s="107"/>
      <c r="K35" s="107"/>
      <c r="L35" s="107"/>
      <c r="M35" s="108"/>
      <c r="N35" s="106" t="str">
        <f ca="1">IF(LIFAFA3!$L$8=0, "", TEXT(S34/LIFAFA3!$L$8, "0.00%"))</f>
        <v/>
      </c>
      <c r="O35" s="107"/>
      <c r="P35" s="107"/>
      <c r="Q35" s="107"/>
      <c r="R35" s="107"/>
      <c r="S35" s="108"/>
      <c r="T35" s="106" t="str">
        <f ca="1">IF(LIFAFA3!$O$8=0, "", TEXT(Y34/LIFAFA3!$O$8, "0.00%"))</f>
        <v/>
      </c>
      <c r="U35" s="107"/>
      <c r="V35" s="107"/>
      <c r="W35" s="107"/>
      <c r="X35" s="107"/>
      <c r="Y35" s="108"/>
      <c r="Z35" s="106" t="str">
        <f ca="1">IF(LIFAFA3!$R$8=0, "", TEXT(AE34/LIFAFA3!$R$8, "0.00%"))</f>
        <v/>
      </c>
      <c r="AA35" s="107"/>
      <c r="AB35" s="107"/>
      <c r="AC35" s="107"/>
      <c r="AD35" s="107"/>
      <c r="AE35" s="108"/>
      <c r="AF35" s="106" t="str">
        <f ca="1">IF(LIFAFA3!$U$8=0, "", TEXT(AK34/LIFAFA3!$U$8, "0.00%"))</f>
        <v/>
      </c>
      <c r="AG35" s="107"/>
      <c r="AH35" s="107"/>
      <c r="AI35" s="107"/>
      <c r="AJ35" s="107"/>
      <c r="AK35" s="108"/>
      <c r="AL35" s="106" t="str">
        <f ca="1">IF(LIFAFA3!$X$8=0, "", TEXT(AQ34/LIFAFA3!$X$8, "0.00%"))</f>
        <v/>
      </c>
      <c r="AM35" s="107"/>
      <c r="AN35" s="107"/>
      <c r="AO35" s="107"/>
      <c r="AP35" s="107"/>
      <c r="AQ35" s="108"/>
    </row>
    <row r="38" spans="1:43" ht="39.75" x14ac:dyDescent="0.25">
      <c r="A38" s="147" t="s">
        <v>1439</v>
      </c>
      <c r="B38" s="147"/>
      <c r="C38" s="147"/>
      <c r="D38" s="147"/>
      <c r="E38" s="147"/>
      <c r="F38" s="147"/>
      <c r="G38" s="147"/>
      <c r="H38" s="147"/>
      <c r="I38" s="147"/>
      <c r="J38" s="147"/>
      <c r="K38" s="147"/>
      <c r="L38" s="147"/>
      <c r="M38" s="147"/>
      <c r="N38" s="147"/>
      <c r="O38" s="147"/>
      <c r="P38" s="148">
        <v>8</v>
      </c>
      <c r="Q38" s="148"/>
      <c r="R38" s="148"/>
      <c r="S38" s="148"/>
      <c r="T38" s="148"/>
      <c r="U38" s="148"/>
      <c r="V38" s="148"/>
      <c r="W38" s="148"/>
      <c r="X38" s="148"/>
      <c r="Y38" s="148"/>
      <c r="Z38" s="148"/>
      <c r="AA38" s="148"/>
      <c r="AB38" s="148"/>
      <c r="AC38" s="148"/>
      <c r="AD38" s="148"/>
      <c r="AE38" s="148"/>
      <c r="AF38" s="148"/>
      <c r="AG38" s="148"/>
      <c r="AH38" s="148"/>
      <c r="AI38" s="148"/>
      <c r="AJ38" s="148"/>
      <c r="AK38" s="148"/>
      <c r="AL38" s="148"/>
      <c r="AM38" s="148"/>
      <c r="AN38" s="148"/>
      <c r="AO38" s="148"/>
      <c r="AP38" s="148"/>
      <c r="AQ38" s="148"/>
    </row>
    <row r="39" spans="1:43" ht="38.25" x14ac:dyDescent="0.25">
      <c r="A39" s="149" t="s">
        <v>1425</v>
      </c>
      <c r="B39" s="149"/>
      <c r="C39" s="149"/>
      <c r="D39" s="149"/>
      <c r="E39" s="149"/>
      <c r="F39" s="149"/>
      <c r="G39" s="149"/>
      <c r="H39" s="149"/>
      <c r="I39" s="149"/>
      <c r="J39" s="149"/>
      <c r="K39" s="149"/>
      <c r="L39" s="149"/>
      <c r="M39" s="149"/>
      <c r="N39" s="149"/>
      <c r="O39" s="149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149"/>
      <c r="AC39" s="149"/>
      <c r="AD39" s="149"/>
      <c r="AE39" s="149"/>
      <c r="AF39" s="149"/>
      <c r="AG39" s="149"/>
      <c r="AH39" s="149"/>
      <c r="AI39" s="149"/>
      <c r="AJ39" s="149"/>
      <c r="AK39" s="149"/>
      <c r="AL39" s="149"/>
      <c r="AM39" s="149"/>
      <c r="AN39" s="149"/>
      <c r="AO39" s="149"/>
      <c r="AP39" s="149"/>
      <c r="AQ39" s="149"/>
    </row>
    <row r="40" spans="1:43" x14ac:dyDescent="0.25">
      <c r="A40" s="150" t="s">
        <v>1426</v>
      </c>
      <c r="B40" s="82" t="s">
        <v>4</v>
      </c>
      <c r="C40" s="82"/>
      <c r="D40" s="82"/>
      <c r="E40" s="82"/>
      <c r="F40" s="82"/>
      <c r="G40" s="82"/>
      <c r="H40" s="82" t="s">
        <v>5</v>
      </c>
      <c r="I40" s="82"/>
      <c r="J40" s="82"/>
      <c r="K40" s="82"/>
      <c r="L40" s="82"/>
      <c r="M40" s="82"/>
      <c r="N40" s="82" t="s">
        <v>6</v>
      </c>
      <c r="O40" s="82"/>
      <c r="P40" s="82"/>
      <c r="Q40" s="82"/>
      <c r="R40" s="82"/>
      <c r="S40" s="82"/>
      <c r="T40" s="82" t="s">
        <v>7</v>
      </c>
      <c r="U40" s="82"/>
      <c r="V40" s="82"/>
      <c r="W40" s="82"/>
      <c r="X40" s="82"/>
      <c r="Y40" s="82"/>
      <c r="Z40" s="82" t="s">
        <v>8</v>
      </c>
      <c r="AA40" s="82"/>
      <c r="AB40" s="82"/>
      <c r="AC40" s="82"/>
      <c r="AD40" s="82"/>
      <c r="AE40" s="82"/>
      <c r="AF40" s="82" t="s">
        <v>9</v>
      </c>
      <c r="AG40" s="82"/>
      <c r="AH40" s="82"/>
      <c r="AI40" s="82"/>
      <c r="AJ40" s="82"/>
      <c r="AK40" s="82"/>
      <c r="AL40" s="82" t="s">
        <v>1435</v>
      </c>
      <c r="AM40" s="82"/>
      <c r="AN40" s="82"/>
      <c r="AO40" s="82"/>
      <c r="AP40" s="82"/>
      <c r="AQ40" s="82"/>
    </row>
    <row r="41" spans="1:43" ht="23.25" x14ac:dyDescent="0.25">
      <c r="A41" s="151"/>
      <c r="B41" s="51" t="s">
        <v>49</v>
      </c>
      <c r="C41" s="51" t="s">
        <v>10</v>
      </c>
      <c r="D41" s="51" t="s">
        <v>1376</v>
      </c>
      <c r="E41" s="51" t="s">
        <v>1377</v>
      </c>
      <c r="F41" s="51" t="s">
        <v>1378</v>
      </c>
      <c r="G41" s="25" t="s">
        <v>3</v>
      </c>
      <c r="H41" s="51" t="s">
        <v>49</v>
      </c>
      <c r="I41" s="51" t="s">
        <v>10</v>
      </c>
      <c r="J41" s="51" t="s">
        <v>1376</v>
      </c>
      <c r="K41" s="51" t="s">
        <v>1377</v>
      </c>
      <c r="L41" s="51" t="s">
        <v>1378</v>
      </c>
      <c r="M41" s="25" t="s">
        <v>3</v>
      </c>
      <c r="N41" s="51" t="s">
        <v>49</v>
      </c>
      <c r="O41" s="51" t="s">
        <v>10</v>
      </c>
      <c r="P41" s="51" t="s">
        <v>1376</v>
      </c>
      <c r="Q41" s="51" t="s">
        <v>1377</v>
      </c>
      <c r="R41" s="51" t="s">
        <v>1378</v>
      </c>
      <c r="S41" s="25" t="s">
        <v>3</v>
      </c>
      <c r="T41" s="51" t="s">
        <v>49</v>
      </c>
      <c r="U41" s="51" t="s">
        <v>10</v>
      </c>
      <c r="V41" s="51" t="s">
        <v>1376</v>
      </c>
      <c r="W41" s="51" t="s">
        <v>1377</v>
      </c>
      <c r="X41" s="51" t="s">
        <v>1378</v>
      </c>
      <c r="Y41" s="25" t="s">
        <v>3</v>
      </c>
      <c r="Z41" s="51" t="s">
        <v>49</v>
      </c>
      <c r="AA41" s="51" t="s">
        <v>10</v>
      </c>
      <c r="AB41" s="51" t="s">
        <v>1376</v>
      </c>
      <c r="AC41" s="51" t="s">
        <v>1377</v>
      </c>
      <c r="AD41" s="51" t="s">
        <v>1378</v>
      </c>
      <c r="AE41" s="25" t="s">
        <v>3</v>
      </c>
      <c r="AF41" s="51" t="s">
        <v>49</v>
      </c>
      <c r="AG41" s="51" t="s">
        <v>10</v>
      </c>
      <c r="AH41" s="51" t="s">
        <v>1376</v>
      </c>
      <c r="AI41" s="51" t="s">
        <v>1377</v>
      </c>
      <c r="AJ41" s="51" t="s">
        <v>1378</v>
      </c>
      <c r="AK41" s="25" t="s">
        <v>3</v>
      </c>
      <c r="AL41" s="18" t="s">
        <v>49</v>
      </c>
      <c r="AM41" s="18" t="s">
        <v>10</v>
      </c>
      <c r="AN41" s="18" t="s">
        <v>1376</v>
      </c>
      <c r="AO41" s="18" t="s">
        <v>1377</v>
      </c>
      <c r="AP41" s="18" t="s">
        <v>1378</v>
      </c>
      <c r="AQ41" s="26" t="s">
        <v>3</v>
      </c>
    </row>
    <row r="42" spans="1:43" ht="26.25" x14ac:dyDescent="0.25">
      <c r="A42" s="145" t="str">
        <f>STUDENTDATA!$I$1</f>
        <v>हिन्दी</v>
      </c>
      <c r="B42" s="53">
        <f>COUNTIFS(STUDENTDATA!$A:$A, "8", STUDENTDATA!$F:$F, "SC", STUDENTDATA!$I:$I, "A")</f>
        <v>0</v>
      </c>
      <c r="C42" s="53">
        <f>COUNTIFS(STUDENTDATA!$A:$A, "8", STUDENTDATA!$F:$F, "SC", STUDENTDATA!$I:$I, "B")</f>
        <v>0</v>
      </c>
      <c r="D42" s="53">
        <f>COUNTIFS(STUDENTDATA!$A:$A, "8", STUDENTDATA!$F:$F, "SC", STUDENTDATA!$I:$I, "C")</f>
        <v>0</v>
      </c>
      <c r="E42" s="53">
        <f>COUNTIFS(STUDENTDATA!$A:$A, "8", STUDENTDATA!$F:$F, "SC", STUDENTDATA!$I:$I, "D")</f>
        <v>0</v>
      </c>
      <c r="F42" s="53">
        <f>COUNTIFS(STUDENTDATA!$A:$A, "8", STUDENTDATA!$F:$F, "SC", STUDENTDATA!$I:$I, "E")</f>
        <v>0</v>
      </c>
      <c r="G42" s="53">
        <f>B42+C42+D42+E42+F42</f>
        <v>0</v>
      </c>
      <c r="H42" s="53">
        <f>COUNTIFS(STUDENTDATA!$A:$A, "8", STUDENTDATA!$F:$F, "ST", STUDENTDATA!$I:$I, "A")</f>
        <v>0</v>
      </c>
      <c r="I42" s="53">
        <f>COUNTIFS(STUDENTDATA!$A:$A, "8", STUDENTDATA!$F:$F, "ST", STUDENTDATA!$I:$I, "B")</f>
        <v>0</v>
      </c>
      <c r="J42" s="53">
        <f>COUNTIFS(STUDENTDATA!$A:$A, "8", STUDENTDATA!$F:$F, "ST", STUDENTDATA!$I:$I, "C")</f>
        <v>0</v>
      </c>
      <c r="K42" s="53">
        <f>COUNTIFS(STUDENTDATA!$A:$A, "8", STUDENTDATA!$F:$F, "ST", STUDENTDATA!$I:$I, "D")</f>
        <v>0</v>
      </c>
      <c r="L42" s="53">
        <f>COUNTIFS(STUDENTDATA!$A:$A, "8", STUDENTDATA!$F:$F, "ST", STUDENTDATA!$I:$I, "E")</f>
        <v>0</v>
      </c>
      <c r="M42" s="53">
        <f t="shared" ref="M42" si="72">H42+I42+J42+K42+L42</f>
        <v>0</v>
      </c>
      <c r="N42" s="53">
        <f>COUNTIFS(STUDENTDATA!$A:$A, "8", STUDENTDATA!$F:$F, "OBC", STUDENTDATA!$I:$I, "A")</f>
        <v>0</v>
      </c>
      <c r="O42" s="53">
        <f>COUNTIFS(STUDENTDATA!$A:$A, "8", STUDENTDATA!$F:$F, "OBC", STUDENTDATA!$I:$I, "B")</f>
        <v>0</v>
      </c>
      <c r="P42" s="53">
        <f>COUNTIFS(STUDENTDATA!$A:$A, "8", STUDENTDATA!$F:$F, "OBC", STUDENTDATA!$I:$I, "C")</f>
        <v>0</v>
      </c>
      <c r="Q42" s="53">
        <f>COUNTIFS(STUDENTDATA!$A:$A, "8", STUDENTDATA!$F:$F, "OBC", STUDENTDATA!$I:$I, "D")</f>
        <v>0</v>
      </c>
      <c r="R42" s="53">
        <f>COUNTIFS(STUDENTDATA!$A:$A, "8", STUDENTDATA!$F:$F, "OBC", STUDENTDATA!$I:$I, "E")</f>
        <v>0</v>
      </c>
      <c r="S42" s="53">
        <f t="shared" ref="S42" si="73">N42+O42+P42+Q42+R42</f>
        <v>0</v>
      </c>
      <c r="T42" s="53">
        <f>COUNTIFS(STUDENTDATA!$A:$A, "8", STUDENTDATA!$F:$F, "SBC", STUDENTDATA!$I:$I, "A")</f>
        <v>0</v>
      </c>
      <c r="U42" s="53">
        <f>COUNTIFS(STUDENTDATA!$A:$A, "8", STUDENTDATA!$F:$F, "SBC", STUDENTDATA!$I:$I, "B")</f>
        <v>0</v>
      </c>
      <c r="V42" s="53">
        <f>COUNTIFS(STUDENTDATA!$A:$A, "8", STUDENTDATA!$F:$F, "SBC", STUDENTDATA!$I:$I, "C")</f>
        <v>0</v>
      </c>
      <c r="W42" s="53">
        <f>COUNTIFS(STUDENTDATA!$A:$A, "8", STUDENTDATA!$F:$F, "SBC", STUDENTDATA!$I:$I, "D")</f>
        <v>0</v>
      </c>
      <c r="X42" s="53">
        <f>COUNTIFS(STUDENTDATA!$A:$A, "8", STUDENTDATA!$F:$F, "SBC", STUDENTDATA!$I:$I, "E")</f>
        <v>0</v>
      </c>
      <c r="Y42" s="53">
        <f t="shared" ref="Y42" si="74">T42+U42+V42+W42+X42</f>
        <v>0</v>
      </c>
      <c r="Z42" s="53">
        <f>COUNTIFS(STUDENTDATA!$A:$A, "8", STUDENTDATA!$F:$F, "GEN", STUDENTDATA!$I:$I, "A")</f>
        <v>0</v>
      </c>
      <c r="AA42" s="53">
        <f>COUNTIFS(STUDENTDATA!$A:$A, "8", STUDENTDATA!$F:$F, "GEN", STUDENTDATA!$I:$I, "B")</f>
        <v>0</v>
      </c>
      <c r="AB42" s="53">
        <f>COUNTIFS(STUDENTDATA!$A:$A, "8", STUDENTDATA!$F:$F, "GEN", STUDENTDATA!$I:$I, "C")</f>
        <v>0</v>
      </c>
      <c r="AC42" s="53">
        <f>COUNTIFS(STUDENTDATA!$A:$A, "8", STUDENTDATA!$F:$F, "GEN", STUDENTDATA!$I:$I, "D")</f>
        <v>0</v>
      </c>
      <c r="AD42" s="53">
        <f>COUNTIFS(STUDENTDATA!$A:$A, "8", STUDENTDATA!$F:$F, "GEN", STUDENTDATA!$I:$I, "E")</f>
        <v>0</v>
      </c>
      <c r="AE42" s="53">
        <f t="shared" ref="AE42" si="75">Z42+AA42+AB42+AC42+AD42</f>
        <v>0</v>
      </c>
      <c r="AF42" s="53">
        <f>COUNTIFS(STUDENTDATA!$A:$A, "8", STUDENTDATA!$F:$F, "MIN", STUDENTDATA!$I:$I, "A")</f>
        <v>0</v>
      </c>
      <c r="AG42" s="53">
        <f>COUNTIFS(STUDENTDATA!$A:$A, "8", STUDENTDATA!$F:$F, "MIN", STUDENTDATA!$I:$I, "B")</f>
        <v>0</v>
      </c>
      <c r="AH42" s="53">
        <f>COUNTIFS(STUDENTDATA!$A:$A, "8", STUDENTDATA!$F:$F, "MIN", STUDENTDATA!$I:$I, "C")</f>
        <v>0</v>
      </c>
      <c r="AI42" s="53">
        <f>COUNTIFS(STUDENTDATA!$A:$A, "8", STUDENTDATA!$F:$F, "MIN", STUDENTDATA!$I:$I, "D")</f>
        <v>0</v>
      </c>
      <c r="AJ42" s="53">
        <f>COUNTIFS(STUDENTDATA!$A:$A, "8", STUDENTDATA!$F:$F, "MIN", STUDENTDATA!$I:$I, "E")</f>
        <v>0</v>
      </c>
      <c r="AK42" s="53">
        <f t="shared" ref="AK42" si="76">AF42+AG42+AH42+AI42+AJ42</f>
        <v>0</v>
      </c>
      <c r="AL42" s="53">
        <f>COUNTIFS(STUDENTDATA!$A:$A, "8", STUDENTDATA!$I:$I, "A")</f>
        <v>0</v>
      </c>
      <c r="AM42" s="53">
        <f>COUNTIFS(STUDENTDATA!$A:$A, "8", STUDENTDATA!$I:$I, "B")</f>
        <v>0</v>
      </c>
      <c r="AN42" s="53">
        <f>COUNTIFS(STUDENTDATA!$A:$A, "8", STUDENTDATA!$I:$I, "C")</f>
        <v>0</v>
      </c>
      <c r="AO42" s="53">
        <f>COUNTIFS(STUDENTDATA!$A:$A, "8", STUDENTDATA!$I:$I, "D")</f>
        <v>0</v>
      </c>
      <c r="AP42" s="53">
        <f>COUNTIFS(STUDENTDATA!$A:$A, "8", STUDENTDATA!$I:$I, "E")</f>
        <v>0</v>
      </c>
      <c r="AQ42" s="53">
        <f t="shared" ref="AQ42" si="77">AL42+AM42+AN42+AO42+AP42</f>
        <v>0</v>
      </c>
    </row>
    <row r="43" spans="1:43" ht="26.25" x14ac:dyDescent="0.25">
      <c r="A43" s="146"/>
      <c r="B43" s="106" t="str">
        <f ca="1">IF(LIFAFA3!$F$9=0, "", TEXT(G42/LIFAFA3!$F$9, "0.00%"))</f>
        <v/>
      </c>
      <c r="C43" s="107"/>
      <c r="D43" s="107"/>
      <c r="E43" s="107"/>
      <c r="F43" s="107"/>
      <c r="G43" s="108"/>
      <c r="H43" s="106" t="str">
        <f ca="1">IF(LIFAFA3!$I$9=0, "", TEXT(M42/LIFAFA3!$I$9, "0.00%"))</f>
        <v/>
      </c>
      <c r="I43" s="107"/>
      <c r="J43" s="107"/>
      <c r="K43" s="107"/>
      <c r="L43" s="107"/>
      <c r="M43" s="108"/>
      <c r="N43" s="106" t="str">
        <f ca="1">IF(LIFAFA3!$L$9=0, "", TEXT(S42/LIFAFA3!$L$9, "0.00%"))</f>
        <v/>
      </c>
      <c r="O43" s="107"/>
      <c r="P43" s="107"/>
      <c r="Q43" s="107"/>
      <c r="R43" s="107"/>
      <c r="S43" s="108"/>
      <c r="T43" s="106" t="str">
        <f ca="1">IF(LIFAFA3!$O$9=0, "", TEXT(Y42/LIFAFA3!$O$9, "0.00%"))</f>
        <v/>
      </c>
      <c r="U43" s="107"/>
      <c r="V43" s="107"/>
      <c r="W43" s="107"/>
      <c r="X43" s="107"/>
      <c r="Y43" s="108"/>
      <c r="Z43" s="106" t="str">
        <f ca="1">IF(LIFAFA3!$R$9=0, "", TEXT(AE42/LIFAFA3!$R$9, "0.00%"))</f>
        <v/>
      </c>
      <c r="AA43" s="107"/>
      <c r="AB43" s="107"/>
      <c r="AC43" s="107"/>
      <c r="AD43" s="107"/>
      <c r="AE43" s="108"/>
      <c r="AF43" s="106" t="str">
        <f ca="1">IF(LIFAFA3!$U$9=0, "", TEXT(AK42/LIFAFA3!$U$9, "0.00%"))</f>
        <v/>
      </c>
      <c r="AG43" s="107"/>
      <c r="AH43" s="107"/>
      <c r="AI43" s="107"/>
      <c r="AJ43" s="107"/>
      <c r="AK43" s="108"/>
      <c r="AL43" s="106" t="str">
        <f ca="1">IF(LIFAFA3!$X$9=0, "", TEXT(AQ42/LIFAFA3!$X$9, "0.00%"))</f>
        <v/>
      </c>
      <c r="AM43" s="107"/>
      <c r="AN43" s="107"/>
      <c r="AO43" s="107"/>
      <c r="AP43" s="107"/>
      <c r="AQ43" s="108"/>
    </row>
    <row r="44" spans="1:43" ht="26.25" x14ac:dyDescent="0.25">
      <c r="A44" s="145" t="str">
        <f>STUDENTDATA!$J$1</f>
        <v xml:space="preserve">अंग्रेजी </v>
      </c>
      <c r="B44" s="53">
        <f>COUNTIFS(STUDENTDATA!$A:$A, "8", STUDENTDATA!$F:$F, "SC",  STUDENTDATA!$J:$J, "A")</f>
        <v>0</v>
      </c>
      <c r="C44" s="53">
        <f>COUNTIFS(STUDENTDATA!$A:$A, "8", STUDENTDATA!$F:$F, "SC",  STUDENTDATA!$J:$J, "B")</f>
        <v>0</v>
      </c>
      <c r="D44" s="53">
        <f>COUNTIFS(STUDENTDATA!$A:$A, "8", STUDENTDATA!$F:$F, "SC",  STUDENTDATA!$J:$J, "C")</f>
        <v>0</v>
      </c>
      <c r="E44" s="53">
        <f>COUNTIFS(STUDENTDATA!$A:$A, "8", STUDENTDATA!$F:$F, "SC",  STUDENTDATA!$J:$J, "D")</f>
        <v>0</v>
      </c>
      <c r="F44" s="53">
        <f>COUNTIFS(STUDENTDATA!$A:$A, "8", STUDENTDATA!$F:$F, "SC",  STUDENTDATA!$J:$J, "E")</f>
        <v>0</v>
      </c>
      <c r="G44" s="53">
        <f>B44+C44+D44+E44+F44</f>
        <v>0</v>
      </c>
      <c r="H44" s="53">
        <f>COUNTIFS(STUDENTDATA!$A:$A, "8", STUDENTDATA!$F:$F, "ST",  STUDENTDATA!$J:$J, "A")</f>
        <v>0</v>
      </c>
      <c r="I44" s="53">
        <f>COUNTIFS(STUDENTDATA!$A:$A, "8", STUDENTDATA!$F:$F, "ST",  STUDENTDATA!$J:$J, "B")</f>
        <v>0</v>
      </c>
      <c r="J44" s="53">
        <f>COUNTIFS(STUDENTDATA!$A:$A, "8", STUDENTDATA!$F:$F, "ST",  STUDENTDATA!$J:$J, "C")</f>
        <v>0</v>
      </c>
      <c r="K44" s="53">
        <f>COUNTIFS(STUDENTDATA!$A:$A, "8", STUDENTDATA!$F:$F, "ST",  STUDENTDATA!$J:$J, "D")</f>
        <v>0</v>
      </c>
      <c r="L44" s="53">
        <f>COUNTIFS(STUDENTDATA!$A:$A, "8", STUDENTDATA!$F:$F, "ST",  STUDENTDATA!$J:$J, "E")</f>
        <v>0</v>
      </c>
      <c r="M44" s="53">
        <f t="shared" ref="M44" si="78">H44+I44+J44+K44+L44</f>
        <v>0</v>
      </c>
      <c r="N44" s="53">
        <f>COUNTIFS(STUDENTDATA!$A:$A, "8", STUDENTDATA!$F:$F, "OBC",  STUDENTDATA!$J:$J, "A")</f>
        <v>0</v>
      </c>
      <c r="O44" s="53">
        <f>COUNTIFS(STUDENTDATA!$A:$A, "8", STUDENTDATA!$F:$F, "OBC",  STUDENTDATA!$J:$J, "B")</f>
        <v>0</v>
      </c>
      <c r="P44" s="53">
        <f>COUNTIFS(STUDENTDATA!$A:$A, "8", STUDENTDATA!$F:$F, "OBC",  STUDENTDATA!$J:$J, "C")</f>
        <v>0</v>
      </c>
      <c r="Q44" s="53">
        <f>COUNTIFS(STUDENTDATA!$A:$A, "8", STUDENTDATA!$F:$F, "OBC",  STUDENTDATA!$J:$J, "D")</f>
        <v>0</v>
      </c>
      <c r="R44" s="53">
        <f>COUNTIFS(STUDENTDATA!$A:$A, "8", STUDENTDATA!$F:$F, "OBC",  STUDENTDATA!$J:$J, "E")</f>
        <v>0</v>
      </c>
      <c r="S44" s="53">
        <f t="shared" ref="S44" si="79">N44+O44+P44+Q44+R44</f>
        <v>0</v>
      </c>
      <c r="T44" s="53">
        <f>COUNTIFS(STUDENTDATA!$A:$A, "8", STUDENTDATA!$F:$F, "SBC",  STUDENTDATA!$J:$J, "A")</f>
        <v>0</v>
      </c>
      <c r="U44" s="53">
        <f>COUNTIFS(STUDENTDATA!$A:$A, "8", STUDENTDATA!$F:$F, "SBC",  STUDENTDATA!$J:$J, "B")</f>
        <v>0</v>
      </c>
      <c r="V44" s="53">
        <f>COUNTIFS(STUDENTDATA!$A:$A, "8", STUDENTDATA!$F:$F, "SBC",  STUDENTDATA!$J:$J, "C")</f>
        <v>0</v>
      </c>
      <c r="W44" s="53">
        <f>COUNTIFS(STUDENTDATA!$A:$A, "8", STUDENTDATA!$F:$F, "SBC",  STUDENTDATA!$J:$J, "D")</f>
        <v>0</v>
      </c>
      <c r="X44" s="53">
        <f>COUNTIFS(STUDENTDATA!$A:$A, "8", STUDENTDATA!$F:$F, "SBC",  STUDENTDATA!$J:$J, "E")</f>
        <v>0</v>
      </c>
      <c r="Y44" s="53">
        <f t="shared" ref="Y44" si="80">T44+U44+V44+W44+X44</f>
        <v>0</v>
      </c>
      <c r="Z44" s="53">
        <f>COUNTIFS(STUDENTDATA!$A:$A, "8", STUDENTDATA!$F:$F, "GEN",  STUDENTDATA!$J:$J, "A")</f>
        <v>0</v>
      </c>
      <c r="AA44" s="53">
        <f>COUNTIFS(STUDENTDATA!$A:$A, "8", STUDENTDATA!$F:$F, "GEN",  STUDENTDATA!$J:$J, "B")</f>
        <v>0</v>
      </c>
      <c r="AB44" s="53">
        <f>COUNTIFS(STUDENTDATA!$A:$A, "8", STUDENTDATA!$F:$F, "GEN",  STUDENTDATA!$J:$J, "C")</f>
        <v>0</v>
      </c>
      <c r="AC44" s="53">
        <f>COUNTIFS(STUDENTDATA!$A:$A, "8", STUDENTDATA!$F:$F, "GEN",  STUDENTDATA!$J:$J, "D")</f>
        <v>0</v>
      </c>
      <c r="AD44" s="53">
        <f>COUNTIFS(STUDENTDATA!$A:$A, "8", STUDENTDATA!$F:$F, "GEN",  STUDENTDATA!$J:$J, "E")</f>
        <v>0</v>
      </c>
      <c r="AE44" s="53">
        <f t="shared" ref="AE44" si="81">Z44+AA44+AB44+AC44+AD44</f>
        <v>0</v>
      </c>
      <c r="AF44" s="53">
        <f>COUNTIFS(STUDENTDATA!$A:$A, "8", STUDENTDATA!$F:$F, "MIN",  STUDENTDATA!$J:$J, "A")</f>
        <v>0</v>
      </c>
      <c r="AG44" s="53">
        <f>COUNTIFS(STUDENTDATA!$A:$A, "8", STUDENTDATA!$F:$F, "MIN",  STUDENTDATA!$J:$J, "B")</f>
        <v>0</v>
      </c>
      <c r="AH44" s="53">
        <f>COUNTIFS(STUDENTDATA!$A:$A, "8", STUDENTDATA!$F:$F, "MIN",  STUDENTDATA!$J:$J, "C")</f>
        <v>0</v>
      </c>
      <c r="AI44" s="53">
        <f>COUNTIFS(STUDENTDATA!$A:$A, "8", STUDENTDATA!$F:$F, "MIN",  STUDENTDATA!$J:$J, "D")</f>
        <v>0</v>
      </c>
      <c r="AJ44" s="53">
        <f>COUNTIFS(STUDENTDATA!$A:$A, "8", STUDENTDATA!$F:$F, "MIN",  STUDENTDATA!$J:$J, "E")</f>
        <v>0</v>
      </c>
      <c r="AK44" s="53">
        <f t="shared" ref="AK44" si="82">AF44+AG44+AH44+AI44+AJ44</f>
        <v>0</v>
      </c>
      <c r="AL44" s="53">
        <f>COUNTIFS(STUDENTDATA!$A:$A, "8",  STUDENTDATA!$J:$J, "A")</f>
        <v>0</v>
      </c>
      <c r="AM44" s="53">
        <f>COUNTIFS(STUDENTDATA!$A:$A, "8",  STUDENTDATA!$J:$J, "B")</f>
        <v>0</v>
      </c>
      <c r="AN44" s="53">
        <f>COUNTIFS(STUDENTDATA!$A:$A, "8",  STUDENTDATA!$J:$J, "C")</f>
        <v>0</v>
      </c>
      <c r="AO44" s="53">
        <f>COUNTIFS(STUDENTDATA!$A:$A, "8",  STUDENTDATA!$J:$J, "D")</f>
        <v>0</v>
      </c>
      <c r="AP44" s="53">
        <f>COUNTIFS(STUDENTDATA!$A:$A, "8",  STUDENTDATA!$J:$J, "E")</f>
        <v>0</v>
      </c>
      <c r="AQ44" s="53">
        <f t="shared" ref="AQ44" si="83">AL44+AM44+AN44+AO44+AP44</f>
        <v>0</v>
      </c>
    </row>
    <row r="45" spans="1:43" ht="26.25" x14ac:dyDescent="0.25">
      <c r="A45" s="146"/>
      <c r="B45" s="106" t="str">
        <f ca="1">IF(LIFAFA3!$F$9=0, "", TEXT(G44/LIFAFA3!$F$9, "0.00%"))</f>
        <v/>
      </c>
      <c r="C45" s="107"/>
      <c r="D45" s="107"/>
      <c r="E45" s="107"/>
      <c r="F45" s="107"/>
      <c r="G45" s="108"/>
      <c r="H45" s="106" t="str">
        <f ca="1">IF(LIFAFA3!$I$9=0, "", TEXT(M44/LIFAFA3!$I$9, "0.00%"))</f>
        <v/>
      </c>
      <c r="I45" s="107"/>
      <c r="J45" s="107"/>
      <c r="K45" s="107"/>
      <c r="L45" s="107"/>
      <c r="M45" s="108"/>
      <c r="N45" s="106" t="str">
        <f ca="1">IF(LIFAFA3!$L$9=0, "", TEXT(S44/LIFAFA3!$L$9, "0.00%"))</f>
        <v/>
      </c>
      <c r="O45" s="107"/>
      <c r="P45" s="107"/>
      <c r="Q45" s="107"/>
      <c r="R45" s="107"/>
      <c r="S45" s="108"/>
      <c r="T45" s="106" t="str">
        <f ca="1">IF(LIFAFA3!$O$9=0, "", TEXT(Y44/LIFAFA3!$O$9, "0.00%"))</f>
        <v/>
      </c>
      <c r="U45" s="107"/>
      <c r="V45" s="107"/>
      <c r="W45" s="107"/>
      <c r="X45" s="107"/>
      <c r="Y45" s="108"/>
      <c r="Z45" s="106" t="str">
        <f ca="1">IF(LIFAFA3!$R$9=0, "", TEXT(AE44/LIFAFA3!$R$9, "0.00%"))</f>
        <v/>
      </c>
      <c r="AA45" s="107"/>
      <c r="AB45" s="107"/>
      <c r="AC45" s="107"/>
      <c r="AD45" s="107"/>
      <c r="AE45" s="108"/>
      <c r="AF45" s="106" t="str">
        <f ca="1">IF(LIFAFA3!$U$9=0, "", TEXT(AK44/LIFAFA3!$U$9, "0.00%"))</f>
        <v/>
      </c>
      <c r="AG45" s="107"/>
      <c r="AH45" s="107"/>
      <c r="AI45" s="107"/>
      <c r="AJ45" s="107"/>
      <c r="AK45" s="108"/>
      <c r="AL45" s="106" t="str">
        <f ca="1">IF(LIFAFA3!$X$9=0, "", TEXT(AQ44/LIFAFA3!$X$9, "0.00%"))</f>
        <v/>
      </c>
      <c r="AM45" s="107"/>
      <c r="AN45" s="107"/>
      <c r="AO45" s="107"/>
      <c r="AP45" s="107"/>
      <c r="AQ45" s="108"/>
    </row>
    <row r="46" spans="1:43" ht="26.25" x14ac:dyDescent="0.25">
      <c r="A46" s="144" t="str">
        <f>STUDENTDATA!$K$1</f>
        <v>गणित</v>
      </c>
      <c r="B46" s="53">
        <f>COUNTIFS(STUDENTDATA!$A:$A, "8", STUDENTDATA!$F:$F, "SC",  STUDENTDATA!$K:$K, "A")</f>
        <v>0</v>
      </c>
      <c r="C46" s="53">
        <f>COUNTIFS(STUDENTDATA!$A:$A, "8", STUDENTDATA!$F:$F, "SC",  STUDENTDATA!$K:$K, "B")</f>
        <v>0</v>
      </c>
      <c r="D46" s="53">
        <f>COUNTIFS(STUDENTDATA!$A:$A, "8", STUDENTDATA!$F:$F, "SC",  STUDENTDATA!$K:$K, "C")</f>
        <v>0</v>
      </c>
      <c r="E46" s="53">
        <f>COUNTIFS(STUDENTDATA!$A:$A, "8", STUDENTDATA!$F:$F, "SC",  STUDENTDATA!$K:$K, "D")</f>
        <v>0</v>
      </c>
      <c r="F46" s="53">
        <f>COUNTIFS(STUDENTDATA!$A:$A, "8", STUDENTDATA!$F:$F, "SC",  STUDENTDATA!$K:$K, "E")</f>
        <v>0</v>
      </c>
      <c r="G46" s="53">
        <f>B46+C46+D46+E46+F46</f>
        <v>0</v>
      </c>
      <c r="H46" s="53">
        <f>COUNTIFS(STUDENTDATA!$A:$A, "8", STUDENTDATA!$F:$F, "ST",  STUDENTDATA!$K:$K, "A")</f>
        <v>0</v>
      </c>
      <c r="I46" s="53">
        <f>COUNTIFS(STUDENTDATA!$A:$A, "8", STUDENTDATA!$F:$F, "ST",  STUDENTDATA!$K:$K, "B")</f>
        <v>0</v>
      </c>
      <c r="J46" s="53">
        <f>COUNTIFS(STUDENTDATA!$A:$A, "8", STUDENTDATA!$F:$F, "ST",  STUDENTDATA!$K:$K, "C")</f>
        <v>0</v>
      </c>
      <c r="K46" s="53">
        <f>COUNTIFS(STUDENTDATA!$A:$A, "8", STUDENTDATA!$F:$F, "ST",  STUDENTDATA!$K:$K, "D")</f>
        <v>0</v>
      </c>
      <c r="L46" s="53">
        <f>COUNTIFS(STUDENTDATA!$A:$A, "8", STUDENTDATA!$F:$F, "ST",  STUDENTDATA!$K:$K, "E")</f>
        <v>0</v>
      </c>
      <c r="M46" s="53">
        <f t="shared" ref="M46" si="84">H46+I46+J46+K46+L46</f>
        <v>0</v>
      </c>
      <c r="N46" s="53">
        <f>COUNTIFS(STUDENTDATA!$A:$A, "8", STUDENTDATA!$F:$F, "OBC",  STUDENTDATA!$K:$K, "A")</f>
        <v>0</v>
      </c>
      <c r="O46" s="53">
        <f>COUNTIFS(STUDENTDATA!$A:$A, "8", STUDENTDATA!$F:$F, "OBC",  STUDENTDATA!$K:$K, "B")</f>
        <v>0</v>
      </c>
      <c r="P46" s="53">
        <f>COUNTIFS(STUDENTDATA!$A:$A, "8", STUDENTDATA!$F:$F, "OBC",  STUDENTDATA!$K:$K, "C")</f>
        <v>0</v>
      </c>
      <c r="Q46" s="53">
        <f>COUNTIFS(STUDENTDATA!$A:$A, "8", STUDENTDATA!$F:$F, "OBC",  STUDENTDATA!$K:$K, "D")</f>
        <v>0</v>
      </c>
      <c r="R46" s="53">
        <f>COUNTIFS(STUDENTDATA!$A:$A, "8", STUDENTDATA!$F:$F, "OBC",  STUDENTDATA!$K:$K, "E")</f>
        <v>0</v>
      </c>
      <c r="S46" s="53">
        <f t="shared" ref="S46" si="85">N46+O46+P46+Q46+R46</f>
        <v>0</v>
      </c>
      <c r="T46" s="53">
        <f>COUNTIFS(STUDENTDATA!$A:$A, "8", STUDENTDATA!$F:$F, "SBC",  STUDENTDATA!$K:$K, "A")</f>
        <v>0</v>
      </c>
      <c r="U46" s="53">
        <f>COUNTIFS(STUDENTDATA!$A:$A, "8", STUDENTDATA!$F:$F, "SBC",  STUDENTDATA!$K:$K, "B")</f>
        <v>0</v>
      </c>
      <c r="V46" s="53">
        <f>COUNTIFS(STUDENTDATA!$A:$A, "8", STUDENTDATA!$F:$F, "SBC",  STUDENTDATA!$K:$K, "C")</f>
        <v>0</v>
      </c>
      <c r="W46" s="53">
        <f>COUNTIFS(STUDENTDATA!$A:$A, "8", STUDENTDATA!$F:$F, "SBC",  STUDENTDATA!$K:$K, "D")</f>
        <v>0</v>
      </c>
      <c r="X46" s="53">
        <f>COUNTIFS(STUDENTDATA!$A:$A, "8", STUDENTDATA!$F:$F, "SBC",  STUDENTDATA!$K:$K, "E")</f>
        <v>0</v>
      </c>
      <c r="Y46" s="53">
        <f t="shared" ref="Y46" si="86">T46+U46+V46+W46+X46</f>
        <v>0</v>
      </c>
      <c r="Z46" s="53">
        <f>COUNTIFS(STUDENTDATA!$A:$A, "8", STUDENTDATA!$F:$F, "GEN",  STUDENTDATA!$K:$K, "A")</f>
        <v>0</v>
      </c>
      <c r="AA46" s="53">
        <f>COUNTIFS(STUDENTDATA!$A:$A, "8", STUDENTDATA!$F:$F, "GEN",  STUDENTDATA!$K:$K, "B")</f>
        <v>0</v>
      </c>
      <c r="AB46" s="53">
        <f>COUNTIFS(STUDENTDATA!$A:$A, "8", STUDENTDATA!$F:$F, "GEN",  STUDENTDATA!$K:$K, "C")</f>
        <v>0</v>
      </c>
      <c r="AC46" s="53">
        <f>COUNTIFS(STUDENTDATA!$A:$A, "8", STUDENTDATA!$F:$F, "GEN",  STUDENTDATA!$K:$K, "D")</f>
        <v>0</v>
      </c>
      <c r="AD46" s="53">
        <f>COUNTIFS(STUDENTDATA!$A:$A, "8", STUDENTDATA!$F:$F, "GEN",  STUDENTDATA!$K:$K, "E")</f>
        <v>0</v>
      </c>
      <c r="AE46" s="53">
        <f t="shared" ref="AE46" si="87">Z46+AA46+AB46+AC46+AD46</f>
        <v>0</v>
      </c>
      <c r="AF46" s="53">
        <f>COUNTIFS(STUDENTDATA!$A:$A, "8", STUDENTDATA!$F:$F, "MIN",  STUDENTDATA!$K:$K, "A")</f>
        <v>0</v>
      </c>
      <c r="AG46" s="53">
        <f>COUNTIFS(STUDENTDATA!$A:$A, "8", STUDENTDATA!$F:$F, "MIN",  STUDENTDATA!$K:$K, "B")</f>
        <v>0</v>
      </c>
      <c r="AH46" s="53">
        <f>COUNTIFS(STUDENTDATA!$A:$A, "8", STUDENTDATA!$F:$F, "MIN",  STUDENTDATA!$K:$K, "C")</f>
        <v>0</v>
      </c>
      <c r="AI46" s="53">
        <f>COUNTIFS(STUDENTDATA!$A:$A, "8", STUDENTDATA!$F:$F, "MIN",  STUDENTDATA!$K:$K, "D")</f>
        <v>0</v>
      </c>
      <c r="AJ46" s="53">
        <f>COUNTIFS(STUDENTDATA!$A:$A, "8", STUDENTDATA!$F:$F, "MIN",  STUDENTDATA!$K:$K, "E")</f>
        <v>0</v>
      </c>
      <c r="AK46" s="53">
        <f t="shared" ref="AK46" si="88">AF46+AG46+AH46+AI46+AJ46</f>
        <v>0</v>
      </c>
      <c r="AL46" s="53">
        <f>COUNTIFS(STUDENTDATA!$A:$A, "8",  STUDENTDATA!$K:$K, "A")</f>
        <v>0</v>
      </c>
      <c r="AM46" s="53">
        <f>COUNTIFS(STUDENTDATA!$A:$A, "8",  STUDENTDATA!$K:$K, "B")</f>
        <v>0</v>
      </c>
      <c r="AN46" s="53">
        <f>COUNTIFS(STUDENTDATA!$A:$A, "8",  STUDENTDATA!$K:$K, "C")</f>
        <v>0</v>
      </c>
      <c r="AO46" s="53">
        <f>COUNTIFS(STUDENTDATA!$A:$A, "8",  STUDENTDATA!$K:$K, "D")</f>
        <v>0</v>
      </c>
      <c r="AP46" s="53">
        <f>COUNTIFS(STUDENTDATA!$A:$A, "8",  STUDENTDATA!$K:$K, "E")</f>
        <v>0</v>
      </c>
      <c r="AQ46" s="53">
        <f t="shared" ref="AQ46" si="89">AL46+AM46+AN46+AO46+AP46</f>
        <v>0</v>
      </c>
    </row>
    <row r="47" spans="1:43" ht="26.25" x14ac:dyDescent="0.25">
      <c r="A47" s="144"/>
      <c r="B47" s="106" t="str">
        <f ca="1">IF(LIFAFA3!$F$9=0, "", TEXT(G46/LIFAFA3!$F$9, "0.00%"))</f>
        <v/>
      </c>
      <c r="C47" s="107"/>
      <c r="D47" s="107"/>
      <c r="E47" s="107"/>
      <c r="F47" s="107"/>
      <c r="G47" s="108"/>
      <c r="H47" s="106" t="str">
        <f ca="1">IF(LIFAFA3!$I$9=0, "", TEXT(M46/LIFAFA3!$I$9, "0.00%"))</f>
        <v/>
      </c>
      <c r="I47" s="107"/>
      <c r="J47" s="107"/>
      <c r="K47" s="107"/>
      <c r="L47" s="107"/>
      <c r="M47" s="108"/>
      <c r="N47" s="106" t="str">
        <f ca="1">IF(LIFAFA3!$L$9=0, "", TEXT(S46/LIFAFA3!$L$9, "0.00%"))</f>
        <v/>
      </c>
      <c r="O47" s="107"/>
      <c r="P47" s="107"/>
      <c r="Q47" s="107"/>
      <c r="R47" s="107"/>
      <c r="S47" s="108"/>
      <c r="T47" s="106" t="str">
        <f ca="1">IF(LIFAFA3!$O$9=0, "", TEXT(Y46/LIFAFA3!$O$9, "0.00%"))</f>
        <v/>
      </c>
      <c r="U47" s="107"/>
      <c r="V47" s="107"/>
      <c r="W47" s="107"/>
      <c r="X47" s="107"/>
      <c r="Y47" s="108"/>
      <c r="Z47" s="106" t="str">
        <f ca="1">IF(LIFAFA3!$R$9=0, "", TEXT(AE46/LIFAFA3!$R$9, "0.00%"))</f>
        <v/>
      </c>
      <c r="AA47" s="107"/>
      <c r="AB47" s="107"/>
      <c r="AC47" s="107"/>
      <c r="AD47" s="107"/>
      <c r="AE47" s="108"/>
      <c r="AF47" s="106" t="str">
        <f ca="1">IF(LIFAFA3!$U$9=0, "", TEXT(AK46/LIFAFA3!$U$9, "0.00%"))</f>
        <v/>
      </c>
      <c r="AG47" s="107"/>
      <c r="AH47" s="107"/>
      <c r="AI47" s="107"/>
      <c r="AJ47" s="107"/>
      <c r="AK47" s="108"/>
      <c r="AL47" s="106" t="str">
        <f ca="1">IF(LIFAFA3!$X$9=0, "", TEXT(AQ46/LIFAFA3!$X$9, "0.00%"))</f>
        <v/>
      </c>
      <c r="AM47" s="107"/>
      <c r="AN47" s="107"/>
      <c r="AO47" s="107"/>
      <c r="AP47" s="107"/>
      <c r="AQ47" s="108"/>
    </row>
    <row r="48" spans="1:43" ht="26.25" x14ac:dyDescent="0.25">
      <c r="A48" s="145" t="str">
        <f>STUDENTDATA!$L$1</f>
        <v xml:space="preserve">विज्ञान </v>
      </c>
      <c r="B48" s="53">
        <f>COUNTIFS(STUDENTDATA!$A:$A, "8", STUDENTDATA!$F:$F, "SC",  STUDENTDATA!$L:$L, "A")</f>
        <v>0</v>
      </c>
      <c r="C48" s="53">
        <f>COUNTIFS(STUDENTDATA!$A:$A, "8", STUDENTDATA!$F:$F, "SC",  STUDENTDATA!$L:$L, "B")</f>
        <v>0</v>
      </c>
      <c r="D48" s="53">
        <f>COUNTIFS(STUDENTDATA!$A:$A, "8", STUDENTDATA!$F:$F, "SC",  STUDENTDATA!$L:$L, "C")</f>
        <v>0</v>
      </c>
      <c r="E48" s="53">
        <f>COUNTIFS(STUDENTDATA!$A:$A, "8", STUDENTDATA!$F:$F, "SC",  STUDENTDATA!$L:$L, "D")</f>
        <v>0</v>
      </c>
      <c r="F48" s="53">
        <f>COUNTIFS(STUDENTDATA!$A:$A, "8", STUDENTDATA!$F:$F, "SC",  STUDENTDATA!$L:$L, "E")</f>
        <v>0</v>
      </c>
      <c r="G48" s="53">
        <f>B48+C48+D48+E48+F48</f>
        <v>0</v>
      </c>
      <c r="H48" s="53">
        <f>COUNTIFS(STUDENTDATA!$A:$A, "8", STUDENTDATA!$F:$F, "ST",  STUDENTDATA!$L:$L, "A")</f>
        <v>0</v>
      </c>
      <c r="I48" s="53">
        <f>COUNTIFS(STUDENTDATA!$A:$A, "8", STUDENTDATA!$F:$F, "ST",  STUDENTDATA!$L:$L, "B")</f>
        <v>0</v>
      </c>
      <c r="J48" s="53">
        <f>COUNTIFS(STUDENTDATA!$A:$A, "8", STUDENTDATA!$F:$F, "ST",  STUDENTDATA!$L:$L, "C")</f>
        <v>0</v>
      </c>
      <c r="K48" s="53">
        <f>COUNTIFS(STUDENTDATA!$A:$A, "8", STUDENTDATA!$F:$F, "ST",  STUDENTDATA!$L:$L, "D")</f>
        <v>0</v>
      </c>
      <c r="L48" s="53">
        <f>COUNTIFS(STUDENTDATA!$A:$A, "8", STUDENTDATA!$F:$F, "ST",  STUDENTDATA!$L:$L, "E")</f>
        <v>0</v>
      </c>
      <c r="M48" s="53">
        <f t="shared" ref="M48" si="90">H48+I48+J48+K48+L48</f>
        <v>0</v>
      </c>
      <c r="N48" s="53">
        <f>COUNTIFS(STUDENTDATA!$A:$A, "8", STUDENTDATA!$F:$F, "OBC",  STUDENTDATA!$L:$L, "A")</f>
        <v>0</v>
      </c>
      <c r="O48" s="53">
        <f>COUNTIFS(STUDENTDATA!$A:$A, "8", STUDENTDATA!$F:$F, "OBC",  STUDENTDATA!$L:$L, "B")</f>
        <v>0</v>
      </c>
      <c r="P48" s="53">
        <f>COUNTIFS(STUDENTDATA!$A:$A, "8", STUDENTDATA!$F:$F, "OBC",  STUDENTDATA!$L:$L, "C")</f>
        <v>0</v>
      </c>
      <c r="Q48" s="53">
        <f>COUNTIFS(STUDENTDATA!$A:$A, "8", STUDENTDATA!$F:$F, "OBC",  STUDENTDATA!$L:$L, "D")</f>
        <v>0</v>
      </c>
      <c r="R48" s="53">
        <f>COUNTIFS(STUDENTDATA!$A:$A, "8", STUDENTDATA!$F:$F, "OBC",  STUDENTDATA!$L:$L, "E")</f>
        <v>0</v>
      </c>
      <c r="S48" s="53">
        <f t="shared" ref="S48" si="91">N48+O48+P48+Q48+R48</f>
        <v>0</v>
      </c>
      <c r="T48" s="53">
        <f>COUNTIFS(STUDENTDATA!$A:$A, "8", STUDENTDATA!$F:$F, "SBC",  STUDENTDATA!$L:$L, "A")</f>
        <v>0</v>
      </c>
      <c r="U48" s="53">
        <f>COUNTIFS(STUDENTDATA!$A:$A, "8", STUDENTDATA!$F:$F, "SBC",  STUDENTDATA!$L:$L, "B")</f>
        <v>0</v>
      </c>
      <c r="V48" s="53">
        <f>COUNTIFS(STUDENTDATA!$A:$A, "8", STUDENTDATA!$F:$F, "SBC",  STUDENTDATA!$L:$L, "C")</f>
        <v>0</v>
      </c>
      <c r="W48" s="53">
        <f>COUNTIFS(STUDENTDATA!$A:$A, "8", STUDENTDATA!$F:$F, "SBC",  STUDENTDATA!$L:$L, "D")</f>
        <v>0</v>
      </c>
      <c r="X48" s="53">
        <f>COUNTIFS(STUDENTDATA!$A:$A, "8", STUDENTDATA!$F:$F, "SBC",  STUDENTDATA!$L:$L, "E")</f>
        <v>0</v>
      </c>
      <c r="Y48" s="53">
        <f t="shared" ref="Y48" si="92">T48+U48+V48+W48+X48</f>
        <v>0</v>
      </c>
      <c r="Z48" s="53">
        <f>COUNTIFS(STUDENTDATA!$A:$A, "8", STUDENTDATA!$F:$F, "GEN",  STUDENTDATA!$L:$L, "A")</f>
        <v>0</v>
      </c>
      <c r="AA48" s="53">
        <f>COUNTIFS(STUDENTDATA!$A:$A, "8", STUDENTDATA!$F:$F, "GEN",  STUDENTDATA!$L:$L, "B")</f>
        <v>0</v>
      </c>
      <c r="AB48" s="53">
        <f>COUNTIFS(STUDENTDATA!$A:$A, "8", STUDENTDATA!$F:$F, "GEN",  STUDENTDATA!$L:$L, "C")</f>
        <v>0</v>
      </c>
      <c r="AC48" s="53">
        <f>COUNTIFS(STUDENTDATA!$A:$A, "8", STUDENTDATA!$F:$F, "GEN",  STUDENTDATA!$L:$L, "D")</f>
        <v>0</v>
      </c>
      <c r="AD48" s="53">
        <f>COUNTIFS(STUDENTDATA!$A:$A, "8", STUDENTDATA!$F:$F, "GEN",  STUDENTDATA!$L:$L, "E")</f>
        <v>0</v>
      </c>
      <c r="AE48" s="53">
        <f t="shared" ref="AE48" si="93">Z48+AA48+AB48+AC48+AD48</f>
        <v>0</v>
      </c>
      <c r="AF48" s="53">
        <f>COUNTIFS(STUDENTDATA!$A:$A, "8", STUDENTDATA!$F:$F, "MIN",  STUDENTDATA!$L:$L, "A")</f>
        <v>0</v>
      </c>
      <c r="AG48" s="53">
        <f>COUNTIFS(STUDENTDATA!$A:$A, "8", STUDENTDATA!$F:$F, "MIN",  STUDENTDATA!$L:$L, "B")</f>
        <v>0</v>
      </c>
      <c r="AH48" s="53">
        <f>COUNTIFS(STUDENTDATA!$A:$A, "8", STUDENTDATA!$F:$F, "MIN",  STUDENTDATA!$L:$L, "C")</f>
        <v>0</v>
      </c>
      <c r="AI48" s="53">
        <f>COUNTIFS(STUDENTDATA!$A:$A, "8", STUDENTDATA!$F:$F, "MIN",  STUDENTDATA!$L:$L, "D")</f>
        <v>0</v>
      </c>
      <c r="AJ48" s="53">
        <f>COUNTIFS(STUDENTDATA!$A:$A, "8", STUDENTDATA!$F:$F, "MIN",  STUDENTDATA!$L:$L, "E")</f>
        <v>0</v>
      </c>
      <c r="AK48" s="53">
        <f t="shared" ref="AK48" si="94">AF48+AG48+AH48+AI48+AJ48</f>
        <v>0</v>
      </c>
      <c r="AL48" s="53">
        <f>COUNTIFS(STUDENTDATA!$A:$A, "8",  STUDENTDATA!$L:$L, "A")</f>
        <v>0</v>
      </c>
      <c r="AM48" s="53">
        <f>COUNTIFS(STUDENTDATA!$A:$A, "8",  STUDENTDATA!$L:$L, "B")</f>
        <v>0</v>
      </c>
      <c r="AN48" s="53">
        <f>COUNTIFS(STUDENTDATA!$A:$A, "8",  STUDENTDATA!$L:$L, "C")</f>
        <v>0</v>
      </c>
      <c r="AO48" s="53">
        <f>COUNTIFS(STUDENTDATA!$A:$A, "8",  STUDENTDATA!$L:$L, "D")</f>
        <v>0</v>
      </c>
      <c r="AP48" s="53">
        <f>COUNTIFS(STUDENTDATA!$A:$A, "8",  STUDENTDATA!$L:$L, "E")</f>
        <v>0</v>
      </c>
      <c r="AQ48" s="53">
        <f t="shared" ref="AQ48" si="95">AL48+AM48+AN48+AO48+AP48</f>
        <v>0</v>
      </c>
    </row>
    <row r="49" spans="1:43" ht="26.25" x14ac:dyDescent="0.25">
      <c r="A49" s="146"/>
      <c r="B49" s="106" t="str">
        <f ca="1">IF(LIFAFA3!$F$9=0, "", TEXT(G48/LIFAFA3!$F$9, "0.00%"))</f>
        <v/>
      </c>
      <c r="C49" s="107"/>
      <c r="D49" s="107"/>
      <c r="E49" s="107"/>
      <c r="F49" s="107"/>
      <c r="G49" s="108"/>
      <c r="H49" s="106" t="str">
        <f ca="1">IF(LIFAFA3!$I$9=0, "", TEXT(M48/LIFAFA3!$I$9, "0.00%"))</f>
        <v/>
      </c>
      <c r="I49" s="107"/>
      <c r="J49" s="107"/>
      <c r="K49" s="107"/>
      <c r="L49" s="107"/>
      <c r="M49" s="108"/>
      <c r="N49" s="106" t="str">
        <f ca="1">IF(LIFAFA3!$L$9=0, "", TEXT(S48/LIFAFA3!$L$9, "0.00%"))</f>
        <v/>
      </c>
      <c r="O49" s="107"/>
      <c r="P49" s="107"/>
      <c r="Q49" s="107"/>
      <c r="R49" s="107"/>
      <c r="S49" s="108"/>
      <c r="T49" s="106" t="str">
        <f ca="1">IF(LIFAFA3!$O$9=0, "", TEXT(Y48/LIFAFA3!$O$9, "0.00%"))</f>
        <v/>
      </c>
      <c r="U49" s="107"/>
      <c r="V49" s="107"/>
      <c r="W49" s="107"/>
      <c r="X49" s="107"/>
      <c r="Y49" s="108"/>
      <c r="Z49" s="106" t="str">
        <f ca="1">IF(LIFAFA3!$R$9=0, "", TEXT(AE48/LIFAFA3!$R$9, "0.00%"))</f>
        <v/>
      </c>
      <c r="AA49" s="107"/>
      <c r="AB49" s="107"/>
      <c r="AC49" s="107"/>
      <c r="AD49" s="107"/>
      <c r="AE49" s="108"/>
      <c r="AF49" s="106" t="str">
        <f ca="1">IF(LIFAFA3!$U$9=0, "", TEXT(AK48/LIFAFA3!$U$9, "0.00%"))</f>
        <v/>
      </c>
      <c r="AG49" s="107"/>
      <c r="AH49" s="107"/>
      <c r="AI49" s="107"/>
      <c r="AJ49" s="107"/>
      <c r="AK49" s="108"/>
      <c r="AL49" s="106" t="str">
        <f ca="1">IF(LIFAFA3!$X$9=0, "", TEXT(AQ48/LIFAFA3!$X$9, "0.00%"))</f>
        <v/>
      </c>
      <c r="AM49" s="107"/>
      <c r="AN49" s="107"/>
      <c r="AO49" s="107"/>
      <c r="AP49" s="107"/>
      <c r="AQ49" s="108"/>
    </row>
    <row r="50" spans="1:43" ht="26.25" x14ac:dyDescent="0.25">
      <c r="A50" s="145" t="str">
        <f>STUDENTDATA!$M$1</f>
        <v xml:space="preserve">संस्कृत </v>
      </c>
      <c r="B50" s="53">
        <f>COUNTIFS(STUDENTDATA!$A:$A, "8", STUDENTDATA!$F:$F, "SC",  STUDENTDATA!$M:$M, "A")</f>
        <v>0</v>
      </c>
      <c r="C50" s="53">
        <f>COUNTIFS(STUDENTDATA!$A:$A, "8", STUDENTDATA!$F:$F, "SC",  STUDENTDATA!$M:$M, "B")</f>
        <v>0</v>
      </c>
      <c r="D50" s="53">
        <f>COUNTIFS(STUDENTDATA!$A:$A, "8", STUDENTDATA!$F:$F, "SC",  STUDENTDATA!$M:$M, "C")</f>
        <v>0</v>
      </c>
      <c r="E50" s="53">
        <f>COUNTIFS(STUDENTDATA!$A:$A, "8", STUDENTDATA!$F:$F, "SC",  STUDENTDATA!$M:$M, "D")</f>
        <v>0</v>
      </c>
      <c r="F50" s="53">
        <f>COUNTIFS(STUDENTDATA!$A:$A, "8", STUDENTDATA!$F:$F, "SC",  STUDENTDATA!$M:$M, "E")</f>
        <v>0</v>
      </c>
      <c r="G50" s="53">
        <f>B50+C50+D50+E50+F50</f>
        <v>0</v>
      </c>
      <c r="H50" s="53">
        <f>COUNTIFS(STUDENTDATA!$A:$A, "8", STUDENTDATA!$F:$F, "ST",  STUDENTDATA!$M:$M, "A")</f>
        <v>0</v>
      </c>
      <c r="I50" s="53">
        <f>COUNTIFS(STUDENTDATA!$A:$A, "8", STUDENTDATA!$F:$F, "ST",  STUDENTDATA!$M:$M, "B")</f>
        <v>0</v>
      </c>
      <c r="J50" s="53">
        <f>COUNTIFS(STUDENTDATA!$A:$A, "8", STUDENTDATA!$F:$F, "ST",  STUDENTDATA!$M:$M, "C")</f>
        <v>0</v>
      </c>
      <c r="K50" s="53">
        <f>COUNTIFS(STUDENTDATA!$A:$A, "8", STUDENTDATA!$F:$F, "ST",  STUDENTDATA!$M:$M, "D")</f>
        <v>0</v>
      </c>
      <c r="L50" s="53">
        <f>COUNTIFS(STUDENTDATA!$A:$A, "8", STUDENTDATA!$F:$F, "ST",  STUDENTDATA!$M:$M, "E")</f>
        <v>0</v>
      </c>
      <c r="M50" s="53">
        <f t="shared" ref="M50" si="96">H50+I50+J50+K50+L50</f>
        <v>0</v>
      </c>
      <c r="N50" s="53">
        <f>COUNTIFS(STUDENTDATA!$A:$A, "8", STUDENTDATA!$F:$F, "OBC",  STUDENTDATA!$M:$M, "A")</f>
        <v>0</v>
      </c>
      <c r="O50" s="53">
        <f>COUNTIFS(STUDENTDATA!$A:$A, "8", STUDENTDATA!$F:$F, "OBC",  STUDENTDATA!$M:$M, "B")</f>
        <v>0</v>
      </c>
      <c r="P50" s="53">
        <f>COUNTIFS(STUDENTDATA!$A:$A, "8", STUDENTDATA!$F:$F, "OBC",  STUDENTDATA!$M:$M, "C")</f>
        <v>0</v>
      </c>
      <c r="Q50" s="53">
        <f>COUNTIFS(STUDENTDATA!$A:$A, "8", STUDENTDATA!$F:$F, "OBC",  STUDENTDATA!$M:$M, "D")</f>
        <v>0</v>
      </c>
      <c r="R50" s="53">
        <f>COUNTIFS(STUDENTDATA!$A:$A, "8", STUDENTDATA!$F:$F, "OBC",  STUDENTDATA!$M:$M, "E")</f>
        <v>0</v>
      </c>
      <c r="S50" s="53">
        <f t="shared" ref="S50" si="97">N50+O50+P50+Q50+R50</f>
        <v>0</v>
      </c>
      <c r="T50" s="53">
        <f>COUNTIFS(STUDENTDATA!$A:$A, "8", STUDENTDATA!$F:$F, "SBC",  STUDENTDATA!$M:$M, "A")</f>
        <v>0</v>
      </c>
      <c r="U50" s="53">
        <f>COUNTIFS(STUDENTDATA!$A:$A, "8", STUDENTDATA!$F:$F, "SBC",  STUDENTDATA!$M:$M, "B")</f>
        <v>0</v>
      </c>
      <c r="V50" s="53">
        <f>COUNTIFS(STUDENTDATA!$A:$A, "8", STUDENTDATA!$F:$F, "SBC",  STUDENTDATA!$M:$M, "C")</f>
        <v>0</v>
      </c>
      <c r="W50" s="53">
        <f>COUNTIFS(STUDENTDATA!$A:$A, "8", STUDENTDATA!$F:$F, "SBC",  STUDENTDATA!$M:$M, "D")</f>
        <v>0</v>
      </c>
      <c r="X50" s="53">
        <f>COUNTIFS(STUDENTDATA!$A:$A, "8", STUDENTDATA!$F:$F, "SBC",  STUDENTDATA!$M:$M, "E")</f>
        <v>0</v>
      </c>
      <c r="Y50" s="53">
        <f t="shared" ref="Y50" si="98">T50+U50+V50+W50+X50</f>
        <v>0</v>
      </c>
      <c r="Z50" s="53">
        <f>COUNTIFS(STUDENTDATA!$A:$A, "8", STUDENTDATA!$F:$F, "GEN",  STUDENTDATA!$M:$M, "A")</f>
        <v>0</v>
      </c>
      <c r="AA50" s="53">
        <f>COUNTIFS(STUDENTDATA!$A:$A, "8", STUDENTDATA!$F:$F, "GEN",  STUDENTDATA!$M:$M, "B")</f>
        <v>0</v>
      </c>
      <c r="AB50" s="53">
        <f>COUNTIFS(STUDENTDATA!$A:$A, "8", STUDENTDATA!$F:$F, "GEN",  STUDENTDATA!$M:$M, "C")</f>
        <v>0</v>
      </c>
      <c r="AC50" s="53">
        <f>COUNTIFS(STUDENTDATA!$A:$A, "8", STUDENTDATA!$F:$F, "GEN",  STUDENTDATA!$M:$M, "D")</f>
        <v>0</v>
      </c>
      <c r="AD50" s="53">
        <f>COUNTIFS(STUDENTDATA!$A:$A, "8", STUDENTDATA!$F:$F, "GEN",  STUDENTDATA!$M:$M, "E")</f>
        <v>0</v>
      </c>
      <c r="AE50" s="53">
        <f t="shared" ref="AE50" si="99">Z50+AA50+AB50+AC50+AD50</f>
        <v>0</v>
      </c>
      <c r="AF50" s="53">
        <f>COUNTIFS(STUDENTDATA!$A:$A, "8", STUDENTDATA!$F:$F, "MIN",  STUDENTDATA!$M:$M, "A")</f>
        <v>0</v>
      </c>
      <c r="AG50" s="53">
        <f>COUNTIFS(STUDENTDATA!$A:$A, "8", STUDENTDATA!$F:$F, "MIN",  STUDENTDATA!$M:$M, "B")</f>
        <v>0</v>
      </c>
      <c r="AH50" s="53">
        <f>COUNTIFS(STUDENTDATA!$A:$A, "8", STUDENTDATA!$F:$F, "MIN",  STUDENTDATA!$M:$M, "C")</f>
        <v>0</v>
      </c>
      <c r="AI50" s="53">
        <f>COUNTIFS(STUDENTDATA!$A:$A, "8", STUDENTDATA!$F:$F, "MIN",  STUDENTDATA!$M:$M, "D")</f>
        <v>0</v>
      </c>
      <c r="AJ50" s="53">
        <f>COUNTIFS(STUDENTDATA!$A:$A, "8", STUDENTDATA!$F:$F, "MIN",  STUDENTDATA!$M:$M, "E")</f>
        <v>0</v>
      </c>
      <c r="AK50" s="53">
        <f t="shared" ref="AK50" si="100">AF50+AG50+AH50+AI50+AJ50</f>
        <v>0</v>
      </c>
      <c r="AL50" s="53">
        <f>COUNTIFS(STUDENTDATA!$A:$A, "8",  STUDENTDATA!$M:$M, "A")</f>
        <v>0</v>
      </c>
      <c r="AM50" s="53">
        <f>COUNTIFS(STUDENTDATA!$A:$A, "8",  STUDENTDATA!$M:$M, "B")</f>
        <v>0</v>
      </c>
      <c r="AN50" s="53">
        <f>COUNTIFS(STUDENTDATA!$A:$A, "8",  STUDENTDATA!$M:$M, "C")</f>
        <v>0</v>
      </c>
      <c r="AO50" s="53">
        <f>COUNTIFS(STUDENTDATA!$A:$A, "8",  STUDENTDATA!$M:$M, "D")</f>
        <v>0</v>
      </c>
      <c r="AP50" s="53">
        <f>COUNTIFS(STUDENTDATA!$A:$A, "8",  STUDENTDATA!$M:$M, "E")</f>
        <v>0</v>
      </c>
      <c r="AQ50" s="53">
        <f t="shared" ref="AQ50" si="101">AL50+AM50+AN50+AO50+AP50</f>
        <v>0</v>
      </c>
    </row>
    <row r="51" spans="1:43" ht="26.25" x14ac:dyDescent="0.25">
      <c r="A51" s="146"/>
      <c r="B51" s="106" t="str">
        <f ca="1">IF(LIFAFA3!$F$9=0, "", TEXT(G50/LIFAFA3!$F$9, "0.00%"))</f>
        <v/>
      </c>
      <c r="C51" s="107"/>
      <c r="D51" s="107"/>
      <c r="E51" s="107"/>
      <c r="F51" s="107"/>
      <c r="G51" s="108"/>
      <c r="H51" s="106" t="str">
        <f ca="1">IF(LIFAFA3!$I$9=0, "", TEXT(M50/LIFAFA3!$I$9, "0.00%"))</f>
        <v/>
      </c>
      <c r="I51" s="107"/>
      <c r="J51" s="107"/>
      <c r="K51" s="107"/>
      <c r="L51" s="107"/>
      <c r="M51" s="108"/>
      <c r="N51" s="106" t="str">
        <f ca="1">IF(LIFAFA3!$L$9=0, "", TEXT(S50/LIFAFA3!$L$9, "0.00%"))</f>
        <v/>
      </c>
      <c r="O51" s="107"/>
      <c r="P51" s="107"/>
      <c r="Q51" s="107"/>
      <c r="R51" s="107"/>
      <c r="S51" s="108"/>
      <c r="T51" s="106" t="str">
        <f ca="1">IF(LIFAFA3!$O$9=0, "", TEXT(Y50/LIFAFA3!$O$9, "0.00%"))</f>
        <v/>
      </c>
      <c r="U51" s="107"/>
      <c r="V51" s="107"/>
      <c r="W51" s="107"/>
      <c r="X51" s="107"/>
      <c r="Y51" s="108"/>
      <c r="Z51" s="106" t="str">
        <f ca="1">IF(LIFAFA3!$R$9=0, "", TEXT(AE50/LIFAFA3!$R$9, "0.00%"))</f>
        <v/>
      </c>
      <c r="AA51" s="107"/>
      <c r="AB51" s="107"/>
      <c r="AC51" s="107"/>
      <c r="AD51" s="107"/>
      <c r="AE51" s="108"/>
      <c r="AF51" s="106" t="str">
        <f ca="1">IF(LIFAFA3!$U$9=0, "", TEXT(AK50/LIFAFA3!$U$9, "0.00%"))</f>
        <v/>
      </c>
      <c r="AG51" s="107"/>
      <c r="AH51" s="107"/>
      <c r="AI51" s="107"/>
      <c r="AJ51" s="107"/>
      <c r="AK51" s="108"/>
      <c r="AL51" s="106" t="str">
        <f ca="1">IF(LIFAFA3!$X$9=0, "", TEXT(AQ50/LIFAFA3!$X$9, "0.00%"))</f>
        <v/>
      </c>
      <c r="AM51" s="107"/>
      <c r="AN51" s="107"/>
      <c r="AO51" s="107"/>
      <c r="AP51" s="107"/>
      <c r="AQ51" s="108"/>
    </row>
    <row r="52" spans="1:43" ht="26.25" x14ac:dyDescent="0.25">
      <c r="A52" s="144" t="str">
        <f>STUDENTDATA!$N$1</f>
        <v>सामाजिक विज्ञान</v>
      </c>
      <c r="B52" s="53">
        <f>COUNTIFS(STUDENTDATA!$A:$A, "8", STUDENTDATA!$F:$F, "SC",  STUDENTDATA!$N:$N, "A")</f>
        <v>0</v>
      </c>
      <c r="C52" s="53">
        <f>COUNTIFS(STUDENTDATA!$A:$A, "8", STUDENTDATA!$F:$F, "SC",  STUDENTDATA!$N:$N, "B")</f>
        <v>0</v>
      </c>
      <c r="D52" s="53">
        <f>COUNTIFS(STUDENTDATA!$A:$A, "8", STUDENTDATA!$F:$F, "SC",  STUDENTDATA!$N:$N, "C")</f>
        <v>0</v>
      </c>
      <c r="E52" s="53">
        <f>COUNTIFS(STUDENTDATA!$A:$A, "8", STUDENTDATA!$F:$F, "SC",  STUDENTDATA!$N:$N, "D")</f>
        <v>0</v>
      </c>
      <c r="F52" s="53">
        <f>COUNTIFS(STUDENTDATA!$A:$A, "8", STUDENTDATA!$F:$F, "SC",  STUDENTDATA!$N:$N, "E")</f>
        <v>0</v>
      </c>
      <c r="G52" s="53">
        <f>B52+C52+D52+E52+F52</f>
        <v>0</v>
      </c>
      <c r="H52" s="53">
        <f>COUNTIFS(STUDENTDATA!$A:$A, "8", STUDENTDATA!$F:$F, "ST",  STUDENTDATA!$N:$N, "A")</f>
        <v>0</v>
      </c>
      <c r="I52" s="53">
        <f>COUNTIFS(STUDENTDATA!$A:$A, "8", STUDENTDATA!$F:$F, "ST",  STUDENTDATA!$N:$N, "B")</f>
        <v>0</v>
      </c>
      <c r="J52" s="53">
        <f>COUNTIFS(STUDENTDATA!$A:$A, "8", STUDENTDATA!$F:$F, "ST",  STUDENTDATA!$N:$N, "C")</f>
        <v>0</v>
      </c>
      <c r="K52" s="53">
        <f>COUNTIFS(STUDENTDATA!$A:$A, "8", STUDENTDATA!$F:$F, "ST",  STUDENTDATA!$N:$N, "D")</f>
        <v>0</v>
      </c>
      <c r="L52" s="53">
        <f>COUNTIFS(STUDENTDATA!$A:$A, "8", STUDENTDATA!$F:$F, "ST",  STUDENTDATA!$N:$N, "E")</f>
        <v>0</v>
      </c>
      <c r="M52" s="53">
        <f t="shared" ref="M52" si="102">H52+I52+J52+K52+L52</f>
        <v>0</v>
      </c>
      <c r="N52" s="53">
        <f>COUNTIFS(STUDENTDATA!$A:$A, "8", STUDENTDATA!$F:$F, "OBC",  STUDENTDATA!$N:$N, "A")</f>
        <v>0</v>
      </c>
      <c r="O52" s="53">
        <f>COUNTIFS(STUDENTDATA!$A:$A, "8", STUDENTDATA!$F:$F, "OBC",  STUDENTDATA!$N:$N, "B")</f>
        <v>0</v>
      </c>
      <c r="P52" s="53">
        <f>COUNTIFS(STUDENTDATA!$A:$A, "8", STUDENTDATA!$F:$F, "OBC",  STUDENTDATA!$N:$N, "C")</f>
        <v>0</v>
      </c>
      <c r="Q52" s="53">
        <f>COUNTIFS(STUDENTDATA!$A:$A, "8", STUDENTDATA!$F:$F, "OBC",  STUDENTDATA!$N:$N, "D")</f>
        <v>0</v>
      </c>
      <c r="R52" s="53">
        <f>COUNTIFS(STUDENTDATA!$A:$A, "8", STUDENTDATA!$F:$F, "OBC",  STUDENTDATA!$N:$N, "E")</f>
        <v>0</v>
      </c>
      <c r="S52" s="53">
        <f t="shared" ref="S52" si="103">N52+O52+P52+Q52+R52</f>
        <v>0</v>
      </c>
      <c r="T52" s="53">
        <f>COUNTIFS(STUDENTDATA!$A:$A, "8", STUDENTDATA!$F:$F, "SBC",  STUDENTDATA!$N:$N, "A")</f>
        <v>0</v>
      </c>
      <c r="U52" s="53">
        <f>COUNTIFS(STUDENTDATA!$A:$A, "8", STUDENTDATA!$F:$F, "SBC",  STUDENTDATA!$N:$N, "B")</f>
        <v>0</v>
      </c>
      <c r="V52" s="53">
        <f>COUNTIFS(STUDENTDATA!$A:$A, "8", STUDENTDATA!$F:$F, "SBC",  STUDENTDATA!$N:$N, "C")</f>
        <v>0</v>
      </c>
      <c r="W52" s="53">
        <f>COUNTIFS(STUDENTDATA!$A:$A, "8", STUDENTDATA!$F:$F, "SBC",  STUDENTDATA!$N:$N, "D")</f>
        <v>0</v>
      </c>
      <c r="X52" s="53">
        <f>COUNTIFS(STUDENTDATA!$A:$A, "8", STUDENTDATA!$F:$F, "SBC",  STUDENTDATA!$N:$N, "E")</f>
        <v>0</v>
      </c>
      <c r="Y52" s="53">
        <f t="shared" ref="Y52" si="104">T52+U52+V52+W52+X52</f>
        <v>0</v>
      </c>
      <c r="Z52" s="53">
        <f>COUNTIFS(STUDENTDATA!$A:$A, "8", STUDENTDATA!$F:$F, "GEN",  STUDENTDATA!$N:$N, "A")</f>
        <v>0</v>
      </c>
      <c r="AA52" s="53">
        <f>COUNTIFS(STUDENTDATA!$A:$A, "8", STUDENTDATA!$F:$F, "GEN",  STUDENTDATA!$N:$N, "B")</f>
        <v>0</v>
      </c>
      <c r="AB52" s="53">
        <f>COUNTIFS(STUDENTDATA!$A:$A, "8", STUDENTDATA!$F:$F, "GEN",  STUDENTDATA!$N:$N, "C")</f>
        <v>0</v>
      </c>
      <c r="AC52" s="53">
        <f>COUNTIFS(STUDENTDATA!$A:$A, "8", STUDENTDATA!$F:$F, "GEN",  STUDENTDATA!$N:$N, "D")</f>
        <v>0</v>
      </c>
      <c r="AD52" s="53">
        <f>COUNTIFS(STUDENTDATA!$A:$A, "8", STUDENTDATA!$F:$F, "GEN",  STUDENTDATA!$N:$N, "E")</f>
        <v>0</v>
      </c>
      <c r="AE52" s="53">
        <f t="shared" ref="AE52" si="105">Z52+AA52+AB52+AC52+AD52</f>
        <v>0</v>
      </c>
      <c r="AF52" s="53">
        <f>COUNTIFS(STUDENTDATA!$A:$A, "8", STUDENTDATA!$F:$F, "MIN",  STUDENTDATA!$N:$N, "A")</f>
        <v>0</v>
      </c>
      <c r="AG52" s="53">
        <f>COUNTIFS(STUDENTDATA!$A:$A, "8", STUDENTDATA!$F:$F, "MIN",  STUDENTDATA!$N:$N, "B")</f>
        <v>0</v>
      </c>
      <c r="AH52" s="53">
        <f>COUNTIFS(STUDENTDATA!$A:$A, "8", STUDENTDATA!$F:$F, "MIN",  STUDENTDATA!$N:$N, "C")</f>
        <v>0</v>
      </c>
      <c r="AI52" s="53">
        <f>COUNTIFS(STUDENTDATA!$A:$A, "8", STUDENTDATA!$F:$F, "MIN",  STUDENTDATA!$N:$N, "D")</f>
        <v>0</v>
      </c>
      <c r="AJ52" s="53">
        <f>COUNTIFS(STUDENTDATA!$A:$A, "8", STUDENTDATA!$F:$F, "MIN",  STUDENTDATA!$N:$N, "E")</f>
        <v>0</v>
      </c>
      <c r="AK52" s="53">
        <f t="shared" ref="AK52" si="106">AF52+AG52+AH52+AI52+AJ52</f>
        <v>0</v>
      </c>
      <c r="AL52" s="53">
        <f>COUNTIFS(STUDENTDATA!$A:$A, "8",  STUDENTDATA!$N:$N, "A")</f>
        <v>0</v>
      </c>
      <c r="AM52" s="53">
        <f>COUNTIFS(STUDENTDATA!$A:$A, "8",  STUDENTDATA!$N:$N, "B")</f>
        <v>0</v>
      </c>
      <c r="AN52" s="53">
        <f>COUNTIFS(STUDENTDATA!$A:$A, "8",  STUDENTDATA!$N:$N, "C")</f>
        <v>0</v>
      </c>
      <c r="AO52" s="53">
        <f>COUNTIFS(STUDENTDATA!$A:$A, "8",  STUDENTDATA!$N:$N, "D")</f>
        <v>0</v>
      </c>
      <c r="AP52" s="53">
        <f>COUNTIFS(STUDENTDATA!$A:$A, "8",  STUDENTDATA!$N:$N, "E")</f>
        <v>0</v>
      </c>
      <c r="AQ52" s="53">
        <f t="shared" ref="AQ52" si="107">AL52+AM52+AN52+AO52+AP52</f>
        <v>0</v>
      </c>
    </row>
    <row r="53" spans="1:43" ht="26.25" x14ac:dyDescent="0.25">
      <c r="A53" s="144"/>
      <c r="B53" s="106" t="str">
        <f ca="1">IF(LIFAFA3!$F$9=0, "", TEXT(G52/LIFAFA3!$F$9, "0.00%"))</f>
        <v/>
      </c>
      <c r="C53" s="107"/>
      <c r="D53" s="107"/>
      <c r="E53" s="107"/>
      <c r="F53" s="107"/>
      <c r="G53" s="108"/>
      <c r="H53" s="106" t="str">
        <f ca="1">IF(LIFAFA3!$I$9=0, "", TEXT(M52/LIFAFA3!$I$9, "0.00%"))</f>
        <v/>
      </c>
      <c r="I53" s="107"/>
      <c r="J53" s="107"/>
      <c r="K53" s="107"/>
      <c r="L53" s="107"/>
      <c r="M53" s="108"/>
      <c r="N53" s="106" t="str">
        <f ca="1">IF(LIFAFA3!$L$9=0, "", TEXT(S52/LIFAFA3!$L$9, "0.00%"))</f>
        <v/>
      </c>
      <c r="O53" s="107"/>
      <c r="P53" s="107"/>
      <c r="Q53" s="107"/>
      <c r="R53" s="107"/>
      <c r="S53" s="108"/>
      <c r="T53" s="106" t="str">
        <f ca="1">IF(LIFAFA3!$O$9=0, "", TEXT(Y52/LIFAFA3!$O$9, "0.00%"))</f>
        <v/>
      </c>
      <c r="U53" s="107"/>
      <c r="V53" s="107"/>
      <c r="W53" s="107"/>
      <c r="X53" s="107"/>
      <c r="Y53" s="108"/>
      <c r="Z53" s="106" t="str">
        <f ca="1">IF(LIFAFA3!$R$9=0, "", TEXT(AE52/LIFAFA3!$R$9, "0.00%"))</f>
        <v/>
      </c>
      <c r="AA53" s="107"/>
      <c r="AB53" s="107"/>
      <c r="AC53" s="107"/>
      <c r="AD53" s="107"/>
      <c r="AE53" s="108"/>
      <c r="AF53" s="106" t="str">
        <f ca="1">IF(LIFAFA3!$U$9=0, "", TEXT(AK52/LIFAFA3!$U$9, "0.00%"))</f>
        <v/>
      </c>
      <c r="AG53" s="107"/>
      <c r="AH53" s="107"/>
      <c r="AI53" s="107"/>
      <c r="AJ53" s="107"/>
      <c r="AK53" s="108"/>
      <c r="AL53" s="106" t="str">
        <f ca="1">IF(LIFAFA3!$X$9=0, "", TEXT(AQ52/LIFAFA3!$X$9, "0.00%"))</f>
        <v/>
      </c>
      <c r="AM53" s="107"/>
      <c r="AN53" s="107"/>
      <c r="AO53" s="107"/>
      <c r="AP53" s="107"/>
      <c r="AQ53" s="108"/>
    </row>
  </sheetData>
  <sheetProtection algorithmName="SHA-512" hashValue="nNWm3OaQk2xQpGGBYFwtAl6g+p68HqD9mC1jgM/xNjhMfaF2ji4cKMqNiih2CJ9RzHXkoWgzgNmTgC5DY/Iq8g==" saltValue="5xnpcgpkukg9xiD/FRV87w==" spinCount="100000" sheet="1" objects="1" scenarios="1"/>
  <mergeCells count="178">
    <mergeCell ref="B4:G4"/>
    <mergeCell ref="H4:M4"/>
    <mergeCell ref="N4:S4"/>
    <mergeCell ref="T4:Y4"/>
    <mergeCell ref="Z4:AE4"/>
    <mergeCell ref="AF4:AK4"/>
    <mergeCell ref="A4:A5"/>
    <mergeCell ref="A3:AQ3"/>
    <mergeCell ref="A6:A7"/>
    <mergeCell ref="A8:A9"/>
    <mergeCell ref="A10:A11"/>
    <mergeCell ref="B7:G7"/>
    <mergeCell ref="H7:M7"/>
    <mergeCell ref="N7:S7"/>
    <mergeCell ref="N9:S9"/>
    <mergeCell ref="N11:S11"/>
    <mergeCell ref="H9:M9"/>
    <mergeCell ref="H11:M11"/>
    <mergeCell ref="A1:AQ1"/>
    <mergeCell ref="A2:O2"/>
    <mergeCell ref="P2:AQ2"/>
    <mergeCell ref="A12:A13"/>
    <mergeCell ref="B13:G13"/>
    <mergeCell ref="H13:M13"/>
    <mergeCell ref="N13:S13"/>
    <mergeCell ref="T13:Y13"/>
    <mergeCell ref="Z13:AE13"/>
    <mergeCell ref="B9:G9"/>
    <mergeCell ref="B11:G11"/>
    <mergeCell ref="AL4:AQ4"/>
    <mergeCell ref="AL7:AQ7"/>
    <mergeCell ref="AL9:AQ9"/>
    <mergeCell ref="AL11:AQ11"/>
    <mergeCell ref="T7:Y7"/>
    <mergeCell ref="Z7:AE7"/>
    <mergeCell ref="AF7:AK7"/>
    <mergeCell ref="AF9:AK9"/>
    <mergeCell ref="AF11:AK11"/>
    <mergeCell ref="Z11:AE11"/>
    <mergeCell ref="Z9:AE9"/>
    <mergeCell ref="T9:Y9"/>
    <mergeCell ref="T11:Y11"/>
    <mergeCell ref="AF13:AK13"/>
    <mergeCell ref="AL13:AQ13"/>
    <mergeCell ref="A14:A15"/>
    <mergeCell ref="B15:G15"/>
    <mergeCell ref="H15:M15"/>
    <mergeCell ref="N15:S15"/>
    <mergeCell ref="T15:Y15"/>
    <mergeCell ref="Z15:AE15"/>
    <mergeCell ref="AF15:AK15"/>
    <mergeCell ref="AL15:AQ15"/>
    <mergeCell ref="AF17:AK17"/>
    <mergeCell ref="AL17:AQ17"/>
    <mergeCell ref="A20:O20"/>
    <mergeCell ref="P20:AQ20"/>
    <mergeCell ref="A21:AQ21"/>
    <mergeCell ref="A22:A23"/>
    <mergeCell ref="B22:G22"/>
    <mergeCell ref="H22:M22"/>
    <mergeCell ref="N22:S22"/>
    <mergeCell ref="T22:Y22"/>
    <mergeCell ref="A16:A17"/>
    <mergeCell ref="B17:G17"/>
    <mergeCell ref="H17:M17"/>
    <mergeCell ref="N17:S17"/>
    <mergeCell ref="T17:Y17"/>
    <mergeCell ref="Z17:AE17"/>
    <mergeCell ref="Z22:AE22"/>
    <mergeCell ref="AF22:AK22"/>
    <mergeCell ref="AL22:AQ22"/>
    <mergeCell ref="A24:A25"/>
    <mergeCell ref="B25:G25"/>
    <mergeCell ref="H25:M25"/>
    <mergeCell ref="N25:S25"/>
    <mergeCell ref="T25:Y25"/>
    <mergeCell ref="Z25:AE25"/>
    <mergeCell ref="AF25:AK25"/>
    <mergeCell ref="AL25:AQ25"/>
    <mergeCell ref="A26:A27"/>
    <mergeCell ref="B27:G27"/>
    <mergeCell ref="H27:M27"/>
    <mergeCell ref="N27:S27"/>
    <mergeCell ref="T27:Y27"/>
    <mergeCell ref="Z27:AE27"/>
    <mergeCell ref="AF27:AK27"/>
    <mergeCell ref="AL27:AQ27"/>
    <mergeCell ref="AF29:AK29"/>
    <mergeCell ref="AL29:AQ29"/>
    <mergeCell ref="A30:A31"/>
    <mergeCell ref="B31:G31"/>
    <mergeCell ref="H31:M31"/>
    <mergeCell ref="N31:S31"/>
    <mergeCell ref="T31:Y31"/>
    <mergeCell ref="Z31:AE31"/>
    <mergeCell ref="AF31:AK31"/>
    <mergeCell ref="AL31:AQ31"/>
    <mergeCell ref="A28:A29"/>
    <mergeCell ref="B29:G29"/>
    <mergeCell ref="H29:M29"/>
    <mergeCell ref="N29:S29"/>
    <mergeCell ref="T29:Y29"/>
    <mergeCell ref="Z29:AE29"/>
    <mergeCell ref="AF33:AK33"/>
    <mergeCell ref="AL33:AQ33"/>
    <mergeCell ref="A34:A35"/>
    <mergeCell ref="B35:G35"/>
    <mergeCell ref="H35:M35"/>
    <mergeCell ref="N35:S35"/>
    <mergeCell ref="T35:Y35"/>
    <mergeCell ref="Z35:AE35"/>
    <mergeCell ref="AF35:AK35"/>
    <mergeCell ref="AL35:AQ35"/>
    <mergeCell ref="A32:A33"/>
    <mergeCell ref="B33:G33"/>
    <mergeCell ref="H33:M33"/>
    <mergeCell ref="N33:S33"/>
    <mergeCell ref="T33:Y33"/>
    <mergeCell ref="Z33:AE33"/>
    <mergeCell ref="A38:O38"/>
    <mergeCell ref="P38:AQ38"/>
    <mergeCell ref="A39:AQ39"/>
    <mergeCell ref="A40:A41"/>
    <mergeCell ref="B40:G40"/>
    <mergeCell ref="H40:M40"/>
    <mergeCell ref="N40:S40"/>
    <mergeCell ref="T40:Y40"/>
    <mergeCell ref="Z40:AE40"/>
    <mergeCell ref="AF40:AK40"/>
    <mergeCell ref="AL40:AQ40"/>
    <mergeCell ref="A42:A43"/>
    <mergeCell ref="B43:G43"/>
    <mergeCell ref="H43:M43"/>
    <mergeCell ref="N43:S43"/>
    <mergeCell ref="T43:Y43"/>
    <mergeCell ref="Z43:AE43"/>
    <mergeCell ref="AF43:AK43"/>
    <mergeCell ref="AL43:AQ43"/>
    <mergeCell ref="AF45:AK45"/>
    <mergeCell ref="AL45:AQ45"/>
    <mergeCell ref="A46:A47"/>
    <mergeCell ref="B47:G47"/>
    <mergeCell ref="H47:M47"/>
    <mergeCell ref="N47:S47"/>
    <mergeCell ref="T47:Y47"/>
    <mergeCell ref="Z47:AE47"/>
    <mergeCell ref="AF47:AK47"/>
    <mergeCell ref="AL47:AQ47"/>
    <mergeCell ref="A44:A45"/>
    <mergeCell ref="B45:G45"/>
    <mergeCell ref="H45:M45"/>
    <mergeCell ref="N45:S45"/>
    <mergeCell ref="T45:Y45"/>
    <mergeCell ref="Z45:AE45"/>
    <mergeCell ref="AF53:AK53"/>
    <mergeCell ref="AL53:AQ53"/>
    <mergeCell ref="A52:A53"/>
    <mergeCell ref="B53:G53"/>
    <mergeCell ref="H53:M53"/>
    <mergeCell ref="N53:S53"/>
    <mergeCell ref="T53:Y53"/>
    <mergeCell ref="Z53:AE53"/>
    <mergeCell ref="AF49:AK49"/>
    <mergeCell ref="AL49:AQ49"/>
    <mergeCell ref="A50:A51"/>
    <mergeCell ref="B51:G51"/>
    <mergeCell ref="H51:M51"/>
    <mergeCell ref="N51:S51"/>
    <mergeCell ref="T51:Y51"/>
    <mergeCell ref="Z51:AE51"/>
    <mergeCell ref="AF51:AK51"/>
    <mergeCell ref="AL51:AQ51"/>
    <mergeCell ref="A48:A49"/>
    <mergeCell ref="B49:G49"/>
    <mergeCell ref="H49:M49"/>
    <mergeCell ref="N49:S49"/>
    <mergeCell ref="T49:Y49"/>
    <mergeCell ref="Z49:AE49"/>
  </mergeCells>
  <conditionalFormatting sqref="A1:XFD1048576">
    <cfRule type="cellIs" dxfId="0" priority="1" operator="equal">
      <formula>0</formula>
    </cfRule>
  </conditionalFormatting>
  <pageMargins left="0.25" right="0.25" top="0.75" bottom="0.75" header="0.3" footer="0.3"/>
  <pageSetup paperSize="9" scale="34" fitToHeight="0" orientation="landscape" r:id="rId1"/>
  <ignoredErrors>
    <ignoredError sqref="N10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7</vt:i4>
      </vt:variant>
    </vt:vector>
  </HeadingPairs>
  <TitlesOfParts>
    <vt:vector size="19" baseType="lpstr">
      <vt:lpstr>Student_Record 1</vt:lpstr>
      <vt:lpstr>निर्देश</vt:lpstr>
      <vt:lpstr>लिफाफा प्रिन्ट</vt:lpstr>
      <vt:lpstr>STUDENTDATA</vt:lpstr>
      <vt:lpstr>LIFAFA2</vt:lpstr>
      <vt:lpstr>CLASS1_5</vt:lpstr>
      <vt:lpstr>LIFAFA3</vt:lpstr>
      <vt:lpstr>LIFAFA_1</vt:lpstr>
      <vt:lpstr>LIFAFA_5</vt:lpstr>
      <vt:lpstr>SUBJECTWISE9_10</vt:lpstr>
      <vt:lpstr>SUBJECTWISE11_12</vt:lpstr>
      <vt:lpstr>SUBJECTWISE6_8</vt:lpstr>
      <vt:lpstr>List1</vt:lpstr>
      <vt:lpstr>List2</vt:lpstr>
      <vt:lpstr>LIFAFA2!Print_Area</vt:lpstr>
      <vt:lpstr>LIFAFA3!Print_Area</vt:lpstr>
      <vt:lpstr>SUBJECTWISE11_12!Print_Area</vt:lpstr>
      <vt:lpstr>SUBJECTWISE9_10!Print_Area</vt:lpstr>
      <vt:lpstr>SUBJECTWISE6_8!Print_Titles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SHIVA MEGHWANSHI</dc:creator>
  <cp:lastModifiedBy>SHIVA MEGHWANSHI</cp:lastModifiedBy>
  <cp:lastPrinted>2025-06-14T17:29:27Z</cp:lastPrinted>
  <dcterms:created xsi:type="dcterms:W3CDTF">2025-05-15T15:39:28Z</dcterms:created>
  <dcterms:modified xsi:type="dcterms:W3CDTF">2025-06-14T17:47:42Z</dcterms:modified>
</cp:coreProperties>
</file>