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 tabRatio="743" activeTab="1"/>
  </bookViews>
  <sheets>
    <sheet name="Instruction" sheetId="10" r:id="rId1"/>
    <sheet name="Master" sheetId="1" r:id="rId2"/>
    <sheet name="GA 55 Editable" sheetId="2" r:id="rId3"/>
    <sheet name="Other Ded." sheetId="9" r:id="rId4"/>
    <sheet name="Summary" sheetId="8" r:id="rId5"/>
    <sheet name="GA 55 For Print" sheetId="6" r:id="rId6"/>
    <sheet name="Tax Calculaton Old" sheetId="5" r:id="rId7"/>
    <sheet name="Tax Calculaton New" sheetId="7" r:id="rId8"/>
    <sheet name="Post at Office" sheetId="3" r:id="rId9"/>
  </sheets>
  <definedNames>
    <definedName name="payLevel">Table2[Pay - Level]</definedName>
    <definedName name="PostAtOffice">Table1[कार्यालय में पोस्ट विवरण]</definedName>
    <definedName name="_xlnm.Print_Area" localSheetId="2">'GA 55 Editable'!$B$1:$AA$30</definedName>
    <definedName name="_xlnm.Print_Area" localSheetId="5">'GA 55 For Print'!$B$1:$AA$30</definedName>
    <definedName name="_xlnm.Print_Area" localSheetId="1">Master!$A$1:$F$13</definedName>
    <definedName name="_xlnm.Print_Area" localSheetId="3">'Other Ded.'!$A$1:$G$20</definedName>
    <definedName name="_xlnm.Print_Area" localSheetId="7">'Tax Calculaton New'!$A$1:$M$58</definedName>
    <definedName name="_xlnm.Print_Area" localSheetId="6">'Tax Calculaton Old'!$A$1:$M$66</definedName>
    <definedName name="Tax_data">#REF!</definedName>
  </definedNames>
  <calcPr calcId="144525"/>
</workbook>
</file>

<file path=xl/calcChain.xml><?xml version="1.0" encoding="utf-8"?>
<calcChain xmlns="http://schemas.openxmlformats.org/spreadsheetml/2006/main">
  <c r="Z23" i="2" l="1"/>
  <c r="Z24" i="2"/>
  <c r="Z25" i="2"/>
  <c r="Z26" i="2"/>
  <c r="Y22" i="2"/>
  <c r="Y23" i="2"/>
  <c r="Y24" i="2"/>
  <c r="Y25" i="2"/>
  <c r="Y26" i="2"/>
  <c r="D26" i="2"/>
  <c r="D25" i="2"/>
  <c r="D24" i="2"/>
  <c r="D23" i="2"/>
  <c r="J23" i="2"/>
  <c r="J24" i="2"/>
  <c r="J25" i="2"/>
  <c r="J26" i="2"/>
  <c r="C21" i="2" l="1"/>
  <c r="L21" i="2" s="1"/>
  <c r="T18" i="2"/>
  <c r="S18" i="2"/>
  <c r="Q18" i="2"/>
  <c r="N18" i="2"/>
  <c r="H18" i="2"/>
  <c r="G18" i="2"/>
  <c r="F18" i="2"/>
  <c r="T17" i="2"/>
  <c r="S17" i="2"/>
  <c r="Q17" i="2"/>
  <c r="N17" i="2"/>
  <c r="H17" i="2"/>
  <c r="G17" i="2"/>
  <c r="F17" i="2"/>
  <c r="T16" i="2"/>
  <c r="S16" i="2"/>
  <c r="Q16" i="2"/>
  <c r="N16" i="2"/>
  <c r="H16" i="2"/>
  <c r="G16" i="2"/>
  <c r="F16" i="2"/>
  <c r="T15" i="2"/>
  <c r="S15" i="2"/>
  <c r="Q15" i="2"/>
  <c r="N15" i="2"/>
  <c r="H15" i="2"/>
  <c r="G15" i="2"/>
  <c r="F15" i="2"/>
  <c r="S14" i="2"/>
  <c r="Q14" i="2"/>
  <c r="N14" i="2"/>
  <c r="H14" i="2"/>
  <c r="G14" i="2"/>
  <c r="F14" i="2"/>
  <c r="S13" i="2"/>
  <c r="Q13" i="2"/>
  <c r="N13" i="2"/>
  <c r="H13" i="2"/>
  <c r="G13" i="2"/>
  <c r="F13" i="2"/>
  <c r="S12" i="2"/>
  <c r="Q12" i="2"/>
  <c r="N12" i="2"/>
  <c r="H12" i="2"/>
  <c r="G12" i="2"/>
  <c r="F12" i="2"/>
  <c r="S11" i="2"/>
  <c r="Q11" i="2"/>
  <c r="N11" i="2"/>
  <c r="H11" i="2"/>
  <c r="G11" i="2"/>
  <c r="F11" i="2"/>
  <c r="S10" i="2"/>
  <c r="Q10" i="2"/>
  <c r="N10" i="2"/>
  <c r="H10" i="2"/>
  <c r="G10" i="2"/>
  <c r="F10" i="2"/>
  <c r="S9" i="2"/>
  <c r="Q9" i="2"/>
  <c r="N9" i="2"/>
  <c r="H9" i="2"/>
  <c r="G9" i="2"/>
  <c r="F9" i="2"/>
  <c r="S8" i="2"/>
  <c r="Q8" i="2"/>
  <c r="N8" i="2"/>
  <c r="L8" i="2"/>
  <c r="K8" i="2"/>
  <c r="H8" i="2"/>
  <c r="G8" i="2"/>
  <c r="F8" i="2"/>
  <c r="C8" i="2"/>
  <c r="E8" i="2" s="1"/>
  <c r="Q7" i="2"/>
  <c r="O7" i="2"/>
  <c r="N7" i="2"/>
  <c r="L7" i="2"/>
  <c r="H7" i="2"/>
  <c r="G7" i="2"/>
  <c r="F7" i="2"/>
  <c r="W5" i="2"/>
  <c r="P5" i="2"/>
  <c r="L5" i="2"/>
  <c r="H5" i="2"/>
  <c r="C5" i="2"/>
  <c r="W4" i="2"/>
  <c r="M19" i="2" s="1"/>
  <c r="P4" i="2"/>
  <c r="L4" i="2"/>
  <c r="H4" i="2"/>
  <c r="C4" i="2"/>
  <c r="U21" i="2" l="1"/>
  <c r="O8" i="2"/>
  <c r="D8" i="2"/>
  <c r="M20" i="2"/>
  <c r="D3" i="9"/>
  <c r="E6" i="8" s="1"/>
  <c r="B3" i="8"/>
  <c r="M55" i="7" l="1"/>
  <c r="L55" i="7"/>
  <c r="J55" i="7"/>
  <c r="H55" i="7"/>
  <c r="F55" i="7"/>
  <c r="D55" i="7"/>
  <c r="M63" i="5"/>
  <c r="C6" i="8" s="1"/>
  <c r="L63" i="5"/>
  <c r="J63" i="5"/>
  <c r="H63" i="5"/>
  <c r="F63" i="5"/>
  <c r="D63" i="5"/>
  <c r="M52" i="7"/>
  <c r="M34" i="7"/>
  <c r="M17" i="7"/>
  <c r="M17" i="5"/>
  <c r="M15" i="7"/>
  <c r="J14" i="7"/>
  <c r="M10" i="7"/>
  <c r="L9" i="7"/>
  <c r="L8" i="7"/>
  <c r="M5" i="7"/>
  <c r="M5" i="5"/>
  <c r="M3" i="7"/>
  <c r="J3" i="7"/>
  <c r="D3" i="7"/>
  <c r="A1" i="7"/>
  <c r="M60" i="5"/>
  <c r="M43" i="5"/>
  <c r="M42" i="5"/>
  <c r="M44" i="5"/>
  <c r="M41" i="5"/>
  <c r="M39" i="5"/>
  <c r="M38" i="5"/>
  <c r="M37" i="5"/>
  <c r="M36" i="5"/>
  <c r="M33" i="5"/>
  <c r="L28" i="5"/>
  <c r="L27" i="5"/>
  <c r="L26" i="5"/>
  <c r="L25" i="5"/>
  <c r="L24" i="5"/>
  <c r="L23" i="5"/>
  <c r="L22" i="5"/>
  <c r="F30" i="5"/>
  <c r="F29" i="5"/>
  <c r="F28" i="5"/>
  <c r="F27" i="5"/>
  <c r="F26" i="5"/>
  <c r="F25" i="5"/>
  <c r="F24" i="5"/>
  <c r="H14" i="5"/>
  <c r="F14" i="5"/>
  <c r="K12" i="5"/>
  <c r="D14" i="5" s="1"/>
  <c r="L9" i="5"/>
  <c r="L8" i="5"/>
  <c r="M3" i="5"/>
  <c r="J3" i="5"/>
  <c r="D3" i="5"/>
  <c r="J10" i="9"/>
  <c r="J8" i="9"/>
  <c r="K5" i="9"/>
  <c r="K4" i="9"/>
  <c r="A2" i="9"/>
  <c r="A1" i="5"/>
  <c r="A1" i="8"/>
  <c r="J14" i="5" l="1"/>
  <c r="M15" i="5" s="1"/>
  <c r="C8" i="6" l="1"/>
  <c r="D8" i="6"/>
  <c r="E8" i="6"/>
  <c r="F8" i="6"/>
  <c r="G8" i="6"/>
  <c r="H8" i="6"/>
  <c r="I8" i="6"/>
  <c r="K8" i="6"/>
  <c r="N8" i="6"/>
  <c r="P8" i="6"/>
  <c r="Q8" i="6"/>
  <c r="R8" i="6"/>
  <c r="S8" i="6"/>
  <c r="T8" i="6"/>
  <c r="U8" i="6"/>
  <c r="V8" i="6"/>
  <c r="W8" i="6"/>
  <c r="X8" i="6"/>
  <c r="AA8" i="6"/>
  <c r="F9" i="6"/>
  <c r="G9" i="6"/>
  <c r="H9" i="6"/>
  <c r="I9" i="6"/>
  <c r="N9" i="6"/>
  <c r="Q9" i="6"/>
  <c r="R9" i="6"/>
  <c r="S9" i="6"/>
  <c r="T9" i="6"/>
  <c r="U9" i="6"/>
  <c r="V9" i="6"/>
  <c r="W9" i="6"/>
  <c r="X9" i="6"/>
  <c r="AA9" i="6"/>
  <c r="F10" i="6"/>
  <c r="G10" i="6"/>
  <c r="H10" i="6"/>
  <c r="I10" i="6"/>
  <c r="N10" i="6"/>
  <c r="P10" i="6"/>
  <c r="Q10" i="6"/>
  <c r="R10" i="6"/>
  <c r="S10" i="6"/>
  <c r="T10" i="6"/>
  <c r="U10" i="6"/>
  <c r="V10" i="6"/>
  <c r="W10" i="6"/>
  <c r="X10" i="6"/>
  <c r="AA10" i="6"/>
  <c r="F11" i="6"/>
  <c r="G11" i="6"/>
  <c r="H11" i="6"/>
  <c r="I11" i="6"/>
  <c r="N11" i="6"/>
  <c r="P11" i="6"/>
  <c r="Q11" i="6"/>
  <c r="R11" i="6"/>
  <c r="S11" i="6"/>
  <c r="T11" i="6"/>
  <c r="U11" i="6"/>
  <c r="V11" i="6"/>
  <c r="W11" i="6"/>
  <c r="X11" i="6"/>
  <c r="AA11" i="6"/>
  <c r="F12" i="6"/>
  <c r="G12" i="6"/>
  <c r="H12" i="6"/>
  <c r="I12" i="6"/>
  <c r="N12" i="6"/>
  <c r="P12" i="6"/>
  <c r="Q12" i="6"/>
  <c r="R12" i="6"/>
  <c r="S12" i="6"/>
  <c r="T12" i="6"/>
  <c r="U12" i="6"/>
  <c r="V12" i="6"/>
  <c r="W12" i="6"/>
  <c r="X12" i="6"/>
  <c r="AA12" i="6"/>
  <c r="F13" i="6"/>
  <c r="G13" i="6"/>
  <c r="H13" i="6"/>
  <c r="I13" i="6"/>
  <c r="N13" i="6"/>
  <c r="P13" i="6"/>
  <c r="Q13" i="6"/>
  <c r="R13" i="6"/>
  <c r="S13" i="6"/>
  <c r="U13" i="6"/>
  <c r="V13" i="6"/>
  <c r="W13" i="6"/>
  <c r="X13" i="6"/>
  <c r="AA13" i="6"/>
  <c r="F14" i="6"/>
  <c r="G14" i="6"/>
  <c r="H14" i="6"/>
  <c r="I14" i="6"/>
  <c r="N14" i="6"/>
  <c r="P14" i="6"/>
  <c r="Q14" i="6"/>
  <c r="R14" i="6"/>
  <c r="S14" i="6"/>
  <c r="U14" i="6"/>
  <c r="V14" i="6"/>
  <c r="W14" i="6"/>
  <c r="X14" i="6"/>
  <c r="AA14" i="6"/>
  <c r="F15" i="6"/>
  <c r="G15" i="6"/>
  <c r="H15" i="6"/>
  <c r="I15" i="6"/>
  <c r="N15" i="6"/>
  <c r="P15" i="6"/>
  <c r="Q15" i="6"/>
  <c r="R15" i="6"/>
  <c r="S15" i="6"/>
  <c r="U15" i="6"/>
  <c r="V15" i="6"/>
  <c r="W15" i="6"/>
  <c r="X15" i="6"/>
  <c r="AA15" i="6"/>
  <c r="F16" i="6"/>
  <c r="G16" i="6"/>
  <c r="H16" i="6"/>
  <c r="I16" i="6"/>
  <c r="N16" i="6"/>
  <c r="P16" i="6"/>
  <c r="Q16" i="6"/>
  <c r="R16" i="6"/>
  <c r="S16" i="6"/>
  <c r="U16" i="6"/>
  <c r="W16" i="6"/>
  <c r="X16" i="6"/>
  <c r="AA16" i="6"/>
  <c r="F17" i="6"/>
  <c r="G17" i="6"/>
  <c r="H17" i="6"/>
  <c r="I17" i="6"/>
  <c r="N17" i="6"/>
  <c r="P17" i="6"/>
  <c r="Q17" i="6"/>
  <c r="R17" i="6"/>
  <c r="S17" i="6"/>
  <c r="U17" i="6"/>
  <c r="V17" i="6"/>
  <c r="W17" i="6"/>
  <c r="X17" i="6"/>
  <c r="AA17" i="6"/>
  <c r="F18" i="6"/>
  <c r="G18" i="6"/>
  <c r="H18" i="6"/>
  <c r="I18" i="6"/>
  <c r="N18" i="6"/>
  <c r="P18" i="6"/>
  <c r="Q18" i="6"/>
  <c r="R18" i="6"/>
  <c r="S18" i="6"/>
  <c r="U18" i="6"/>
  <c r="V18" i="6"/>
  <c r="W18" i="6"/>
  <c r="X18" i="6"/>
  <c r="AA18" i="6"/>
  <c r="C19" i="6"/>
  <c r="E19" i="6"/>
  <c r="F19" i="6"/>
  <c r="G19" i="6"/>
  <c r="H19" i="6"/>
  <c r="I19" i="6"/>
  <c r="K19" i="6"/>
  <c r="N19" i="6"/>
  <c r="O19" i="6"/>
  <c r="P19" i="6"/>
  <c r="Q19" i="6"/>
  <c r="R19" i="6"/>
  <c r="S19" i="6"/>
  <c r="T19" i="6"/>
  <c r="U19" i="6"/>
  <c r="V19" i="6"/>
  <c r="W19" i="6"/>
  <c r="X19" i="6"/>
  <c r="AA19" i="6"/>
  <c r="C20" i="6"/>
  <c r="E20" i="6"/>
  <c r="F20" i="6"/>
  <c r="G20" i="6"/>
  <c r="H20" i="6"/>
  <c r="I20" i="6"/>
  <c r="K20" i="6"/>
  <c r="N20" i="6"/>
  <c r="O20" i="6"/>
  <c r="P20" i="6"/>
  <c r="Q20" i="6"/>
  <c r="R20" i="6"/>
  <c r="S20" i="6"/>
  <c r="T20" i="6"/>
  <c r="U20" i="6"/>
  <c r="V20" i="6"/>
  <c r="W20" i="6"/>
  <c r="X20" i="6"/>
  <c r="AA20" i="6"/>
  <c r="C21" i="6"/>
  <c r="D21" i="6"/>
  <c r="E21" i="6"/>
  <c r="F21" i="6"/>
  <c r="G21" i="6"/>
  <c r="H21" i="6"/>
  <c r="I21" i="6"/>
  <c r="K21" i="6"/>
  <c r="M21" i="6"/>
  <c r="N21" i="6"/>
  <c r="O21" i="6"/>
  <c r="P21" i="6"/>
  <c r="Q21" i="6"/>
  <c r="R21" i="6"/>
  <c r="S21" i="6"/>
  <c r="T21" i="6"/>
  <c r="V21" i="6"/>
  <c r="W21" i="6"/>
  <c r="X21" i="6"/>
  <c r="AA21" i="6"/>
  <c r="E22" i="6"/>
  <c r="F22" i="6"/>
  <c r="G22" i="6"/>
  <c r="H22" i="6"/>
  <c r="I22" i="6"/>
  <c r="K22" i="6"/>
  <c r="L22" i="6"/>
  <c r="M22" i="6"/>
  <c r="N22" i="6"/>
  <c r="O22" i="6"/>
  <c r="P22" i="6"/>
  <c r="Q22" i="6"/>
  <c r="R22" i="6"/>
  <c r="S22" i="6"/>
  <c r="T22" i="6"/>
  <c r="U22" i="6"/>
  <c r="V22" i="6"/>
  <c r="W22" i="6"/>
  <c r="X22" i="6"/>
  <c r="Y22" i="6"/>
  <c r="AA22" i="6"/>
  <c r="C23" i="6"/>
  <c r="D23" i="6"/>
  <c r="E23" i="6"/>
  <c r="F23" i="6"/>
  <c r="G23" i="6"/>
  <c r="H23" i="6"/>
  <c r="I23" i="6"/>
  <c r="J23" i="6"/>
  <c r="K23" i="6"/>
  <c r="L23" i="6"/>
  <c r="M23" i="6"/>
  <c r="N23" i="6"/>
  <c r="O23" i="6"/>
  <c r="P23" i="6"/>
  <c r="Q23" i="6"/>
  <c r="R23" i="6"/>
  <c r="S23" i="6"/>
  <c r="T23" i="6"/>
  <c r="U23" i="6"/>
  <c r="V23" i="6"/>
  <c r="W23" i="6"/>
  <c r="X23" i="6"/>
  <c r="AA23" i="6"/>
  <c r="C24" i="6"/>
  <c r="D24" i="6"/>
  <c r="E24" i="6"/>
  <c r="F24" i="6"/>
  <c r="G24" i="6"/>
  <c r="H24" i="6"/>
  <c r="I24" i="6"/>
  <c r="J24" i="6"/>
  <c r="K24" i="6"/>
  <c r="L24" i="6"/>
  <c r="M24" i="6"/>
  <c r="N24" i="6"/>
  <c r="O24" i="6"/>
  <c r="P24" i="6"/>
  <c r="Q24" i="6"/>
  <c r="R24" i="6"/>
  <c r="S24" i="6"/>
  <c r="T24" i="6"/>
  <c r="U24" i="6"/>
  <c r="V24" i="6"/>
  <c r="W24" i="6"/>
  <c r="X24" i="6"/>
  <c r="Y24" i="6"/>
  <c r="AA24" i="6"/>
  <c r="C25" i="6"/>
  <c r="D25" i="6"/>
  <c r="E25" i="6"/>
  <c r="F25" i="6"/>
  <c r="G25" i="6"/>
  <c r="H25" i="6"/>
  <c r="I25" i="6"/>
  <c r="J25" i="6"/>
  <c r="K25" i="6"/>
  <c r="L25" i="6"/>
  <c r="M25" i="6"/>
  <c r="N25" i="6"/>
  <c r="O25" i="6"/>
  <c r="P25" i="6"/>
  <c r="Q25" i="6"/>
  <c r="R25" i="6"/>
  <c r="S25" i="6"/>
  <c r="T25" i="6"/>
  <c r="U25" i="6"/>
  <c r="V25" i="6"/>
  <c r="W25" i="6"/>
  <c r="X25" i="6"/>
  <c r="Y25" i="6"/>
  <c r="AA25" i="6"/>
  <c r="C26" i="6"/>
  <c r="D26" i="6"/>
  <c r="E26" i="6"/>
  <c r="F26" i="6"/>
  <c r="G26" i="6"/>
  <c r="H26" i="6"/>
  <c r="I26" i="6"/>
  <c r="J26" i="6"/>
  <c r="K26" i="6"/>
  <c r="L26" i="6"/>
  <c r="M26" i="6"/>
  <c r="N26" i="6"/>
  <c r="O26" i="6"/>
  <c r="P26" i="6"/>
  <c r="Q26" i="6"/>
  <c r="R26" i="6"/>
  <c r="S26" i="6"/>
  <c r="T26" i="6"/>
  <c r="U26" i="6"/>
  <c r="V26" i="6"/>
  <c r="W26" i="6"/>
  <c r="X26" i="6"/>
  <c r="AA26" i="6"/>
  <c r="I27" i="6"/>
  <c r="R27" i="6"/>
  <c r="W27" i="6"/>
  <c r="X27" i="6"/>
  <c r="AA27" i="6"/>
  <c r="F7" i="6"/>
  <c r="G7" i="6"/>
  <c r="H7" i="6"/>
  <c r="I7" i="6"/>
  <c r="N7" i="6"/>
  <c r="P7" i="6"/>
  <c r="Q7" i="6"/>
  <c r="R7" i="6"/>
  <c r="S7" i="6"/>
  <c r="U7" i="6"/>
  <c r="V7" i="6"/>
  <c r="W7" i="6"/>
  <c r="X7" i="6"/>
  <c r="AA7" i="6"/>
  <c r="W5" i="6"/>
  <c r="P5" i="6"/>
  <c r="L5" i="6"/>
  <c r="H5" i="6"/>
  <c r="C5" i="6"/>
  <c r="Z4" i="6"/>
  <c r="W4" i="6"/>
  <c r="P4" i="6"/>
  <c r="L4" i="6"/>
  <c r="H4" i="6"/>
  <c r="C4" i="6"/>
  <c r="Z24" i="6"/>
  <c r="Z25" i="6"/>
  <c r="Y23" i="6"/>
  <c r="Y26" i="6"/>
  <c r="B1" i="6"/>
  <c r="Z26" i="6" l="1"/>
  <c r="Z23" i="6"/>
  <c r="J21" i="2"/>
  <c r="J21" i="6" s="1"/>
  <c r="T16" i="6"/>
  <c r="T17" i="6"/>
  <c r="T18" i="6"/>
  <c r="T15" i="6"/>
  <c r="V16" i="2"/>
  <c r="V16" i="6" s="1"/>
  <c r="O8" i="6"/>
  <c r="O7" i="6"/>
  <c r="L7" i="6" l="1"/>
  <c r="L8" i="6"/>
  <c r="L21" i="6"/>
  <c r="U21" i="6"/>
  <c r="Y21" i="2" l="1"/>
  <c r="K7" i="2"/>
  <c r="K7" i="6" s="1"/>
  <c r="I27" i="2"/>
  <c r="Q27" i="2"/>
  <c r="Q27" i="6" s="1"/>
  <c r="R27" i="2"/>
  <c r="S27" i="2"/>
  <c r="S27" i="6" s="1"/>
  <c r="F22" i="5" s="1"/>
  <c r="U27" i="2"/>
  <c r="U27" i="6" s="1"/>
  <c r="V27" i="2"/>
  <c r="V27" i="6" s="1"/>
  <c r="W27" i="2"/>
  <c r="X27" i="2"/>
  <c r="Z21" i="2" l="1"/>
  <c r="Z21" i="6" s="1"/>
  <c r="Y21" i="6"/>
  <c r="N27" i="2"/>
  <c r="N27" i="6" s="1"/>
  <c r="L9" i="2"/>
  <c r="K9" i="2"/>
  <c r="L4" i="1"/>
  <c r="I5" i="1" s="1"/>
  <c r="I4" i="1"/>
  <c r="C7" i="2" l="1"/>
  <c r="T7" i="2"/>
  <c r="T7" i="6" s="1"/>
  <c r="P9" i="2"/>
  <c r="K9" i="6"/>
  <c r="L10" i="2"/>
  <c r="L9" i="6"/>
  <c r="H27" i="2"/>
  <c r="H27" i="6" s="1"/>
  <c r="F27" i="2"/>
  <c r="F27" i="6" s="1"/>
  <c r="G27" i="2"/>
  <c r="G27" i="6" s="1"/>
  <c r="K10" i="2"/>
  <c r="C9" i="2"/>
  <c r="O9" i="2" s="1"/>
  <c r="O9" i="6" l="1"/>
  <c r="E9" i="2"/>
  <c r="E9" i="6" s="1"/>
  <c r="D9" i="2"/>
  <c r="D9" i="6" s="1"/>
  <c r="D7" i="2"/>
  <c r="D7" i="6" s="1"/>
  <c r="E7" i="2"/>
  <c r="E7" i="6" s="1"/>
  <c r="C7" i="6"/>
  <c r="D19" i="2"/>
  <c r="D20" i="2"/>
  <c r="C9" i="6"/>
  <c r="K11" i="2"/>
  <c r="K10" i="6"/>
  <c r="P27" i="2"/>
  <c r="P27" i="6" s="1"/>
  <c r="P9" i="6"/>
  <c r="L11" i="2"/>
  <c r="L10" i="6"/>
  <c r="M8" i="2"/>
  <c r="J8" i="2"/>
  <c r="M7" i="2"/>
  <c r="C10" i="2"/>
  <c r="O10" i="2" s="1"/>
  <c r="O10" i="6" s="1"/>
  <c r="D19" i="6" l="1"/>
  <c r="L19" i="2"/>
  <c r="D20" i="6"/>
  <c r="L20" i="2"/>
  <c r="L20" i="6" s="1"/>
  <c r="J7" i="2"/>
  <c r="J7" i="6" s="1"/>
  <c r="E10" i="2"/>
  <c r="E10" i="6" s="1"/>
  <c r="D10" i="2"/>
  <c r="D10" i="6" s="1"/>
  <c r="C11" i="2"/>
  <c r="C10" i="6"/>
  <c r="K12" i="2"/>
  <c r="K11" i="6"/>
  <c r="J20" i="2"/>
  <c r="J20" i="6" s="1"/>
  <c r="M7" i="6"/>
  <c r="Y7" i="2"/>
  <c r="M8" i="6"/>
  <c r="Y8" i="2"/>
  <c r="Y8" i="6" s="1"/>
  <c r="L12" i="2"/>
  <c r="L11" i="6"/>
  <c r="J8" i="6"/>
  <c r="J19" i="2"/>
  <c r="J19" i="6" s="1"/>
  <c r="M10" i="2"/>
  <c r="J9" i="2"/>
  <c r="M9" i="2"/>
  <c r="C12" i="2" l="1"/>
  <c r="O12" i="2" s="1"/>
  <c r="O12" i="6" s="1"/>
  <c r="O11" i="2"/>
  <c r="C22" i="2"/>
  <c r="Z7" i="2"/>
  <c r="Z7" i="6" s="1"/>
  <c r="C12" i="6"/>
  <c r="D12" i="2"/>
  <c r="E12" i="2"/>
  <c r="E12" i="6" s="1"/>
  <c r="C11" i="6"/>
  <c r="E11" i="2"/>
  <c r="E11" i="6" s="1"/>
  <c r="D11" i="2"/>
  <c r="M11" i="2" s="1"/>
  <c r="M11" i="6" s="1"/>
  <c r="K13" i="2"/>
  <c r="K12" i="6"/>
  <c r="M10" i="6"/>
  <c r="Y10" i="2"/>
  <c r="Y7" i="6"/>
  <c r="M9" i="6"/>
  <c r="Y9" i="2"/>
  <c r="Y9" i="6" s="1"/>
  <c r="L19" i="6"/>
  <c r="Z8" i="2"/>
  <c r="Z8" i="6" s="1"/>
  <c r="L13" i="2"/>
  <c r="L12" i="6"/>
  <c r="J9" i="6"/>
  <c r="J10" i="2"/>
  <c r="J10" i="6" s="1"/>
  <c r="D12" i="6"/>
  <c r="C13" i="2"/>
  <c r="O13" i="2" s="1"/>
  <c r="O13" i="6" s="1"/>
  <c r="D11" i="6" l="1"/>
  <c r="J11" i="2"/>
  <c r="J11" i="6" s="1"/>
  <c r="C22" i="6"/>
  <c r="D22" i="2"/>
  <c r="D22" i="6" s="1"/>
  <c r="O11" i="6"/>
  <c r="C13" i="6"/>
  <c r="E13" i="2"/>
  <c r="D13" i="2"/>
  <c r="K14" i="2"/>
  <c r="K13" i="6"/>
  <c r="Z9" i="2"/>
  <c r="Z9" i="6" s="1"/>
  <c r="Y11" i="2"/>
  <c r="Z11" i="2" s="1"/>
  <c r="Z11" i="6" s="1"/>
  <c r="L14" i="2"/>
  <c r="L13" i="6"/>
  <c r="Z10" i="2"/>
  <c r="Y10" i="6"/>
  <c r="J12" i="2"/>
  <c r="J12" i="6" s="1"/>
  <c r="M12" i="2"/>
  <c r="C14" i="2"/>
  <c r="O14" i="2" s="1"/>
  <c r="O14" i="6" s="1"/>
  <c r="E13" i="6"/>
  <c r="J22" i="2" l="1"/>
  <c r="Z22" i="2" s="1"/>
  <c r="Z22" i="6"/>
  <c r="C14" i="6"/>
  <c r="E14" i="2"/>
  <c r="E14" i="6" s="1"/>
  <c r="D14" i="2"/>
  <c r="K15" i="2"/>
  <c r="K14" i="6"/>
  <c r="Y11" i="6"/>
  <c r="M13" i="2"/>
  <c r="M13" i="6" s="1"/>
  <c r="D13" i="6"/>
  <c r="M12" i="6"/>
  <c r="Y12" i="2"/>
  <c r="Z10" i="6"/>
  <c r="L15" i="2"/>
  <c r="L14" i="6"/>
  <c r="J13" i="2"/>
  <c r="C15" i="2"/>
  <c r="O15" i="2" s="1"/>
  <c r="O15" i="6" s="1"/>
  <c r="J22" i="6" l="1"/>
  <c r="C15" i="6"/>
  <c r="E15" i="2"/>
  <c r="E15" i="6" s="1"/>
  <c r="D15" i="2"/>
  <c r="K16" i="2"/>
  <c r="K15" i="6"/>
  <c r="M5" i="1"/>
  <c r="J13" i="6"/>
  <c r="M14" i="2"/>
  <c r="M14" i="6" s="1"/>
  <c r="D14" i="6"/>
  <c r="Y12" i="6"/>
  <c r="Z12" i="2"/>
  <c r="L16" i="2"/>
  <c r="L15" i="6"/>
  <c r="J14" i="2"/>
  <c r="C16" i="2"/>
  <c r="O16" i="2" s="1"/>
  <c r="O16" i="6" s="1"/>
  <c r="C16" i="6" l="1"/>
  <c r="E16" i="2"/>
  <c r="E16" i="6" s="1"/>
  <c r="D16" i="2"/>
  <c r="T13" i="2"/>
  <c r="T13" i="6" s="1"/>
  <c r="K17" i="2"/>
  <c r="K16" i="6"/>
  <c r="M15" i="2"/>
  <c r="M15" i="6" s="1"/>
  <c r="D15" i="6"/>
  <c r="M6" i="1"/>
  <c r="J14" i="6"/>
  <c r="Z12" i="6"/>
  <c r="L17" i="2"/>
  <c r="L16" i="6"/>
  <c r="J15" i="2"/>
  <c r="C17" i="2"/>
  <c r="O17" i="2" s="1"/>
  <c r="O17" i="6" s="1"/>
  <c r="C17" i="6" l="1"/>
  <c r="E17" i="2"/>
  <c r="D17" i="2"/>
  <c r="Y13" i="2"/>
  <c r="Z13" i="2" s="1"/>
  <c r="Z13" i="6" s="1"/>
  <c r="K18" i="2"/>
  <c r="K18" i="6" s="1"/>
  <c r="K17" i="6"/>
  <c r="T14" i="2"/>
  <c r="Y14" i="2" s="1"/>
  <c r="K27" i="2"/>
  <c r="K27" i="6" s="1"/>
  <c r="F21" i="5" s="1"/>
  <c r="M7" i="1"/>
  <c r="J15" i="6"/>
  <c r="Y13" i="6"/>
  <c r="M16" i="2"/>
  <c r="M16" i="6" s="1"/>
  <c r="D16" i="6"/>
  <c r="Y15" i="2"/>
  <c r="Z15" i="2" s="1"/>
  <c r="Z15" i="6" s="1"/>
  <c r="L18" i="2"/>
  <c r="L17" i="6"/>
  <c r="J16" i="2"/>
  <c r="C18" i="2"/>
  <c r="O18" i="2" s="1"/>
  <c r="E17" i="6"/>
  <c r="O18" i="6" l="1"/>
  <c r="O27" i="2"/>
  <c r="O27" i="6" s="1"/>
  <c r="T14" i="6"/>
  <c r="T27" i="2"/>
  <c r="T27" i="6" s="1"/>
  <c r="D7" i="9" s="1"/>
  <c r="M40" i="5" s="1"/>
  <c r="M45" i="5" s="1"/>
  <c r="C18" i="6"/>
  <c r="E18" i="2"/>
  <c r="D18" i="2"/>
  <c r="Y15" i="6"/>
  <c r="Z14" i="2"/>
  <c r="Z14" i="6" s="1"/>
  <c r="Y14" i="6"/>
  <c r="M8" i="1"/>
  <c r="J16" i="6"/>
  <c r="J17" i="2"/>
  <c r="D17" i="6"/>
  <c r="Y16" i="2"/>
  <c r="Y16" i="6" s="1"/>
  <c r="L18" i="6"/>
  <c r="L27" i="2"/>
  <c r="L27" i="6" s="1"/>
  <c r="F23" i="5" s="1"/>
  <c r="M17" i="2"/>
  <c r="C27" i="2"/>
  <c r="C27" i="6" s="1"/>
  <c r="Z16" i="2" l="1"/>
  <c r="Z16" i="6" s="1"/>
  <c r="E27" i="2"/>
  <c r="E27" i="6" s="1"/>
  <c r="J12" i="9" s="1"/>
  <c r="E18" i="6"/>
  <c r="M9" i="1"/>
  <c r="J17" i="6"/>
  <c r="D27" i="2"/>
  <c r="D27" i="6" s="1"/>
  <c r="D18" i="6"/>
  <c r="J11" i="9" s="1"/>
  <c r="M17" i="6"/>
  <c r="Y17" i="2"/>
  <c r="J18" i="2"/>
  <c r="M18" i="2"/>
  <c r="B1" i="2"/>
  <c r="M10" i="1" l="1"/>
  <c r="J18" i="6"/>
  <c r="M18" i="6"/>
  <c r="Y18" i="2"/>
  <c r="Z17" i="2"/>
  <c r="Y17" i="6"/>
  <c r="J27" i="2"/>
  <c r="J27" i="6" s="1"/>
  <c r="K6" i="9" s="1"/>
  <c r="M27" i="2" l="1"/>
  <c r="M27" i="6" s="1"/>
  <c r="M19" i="6"/>
  <c r="Y19" i="2"/>
  <c r="Z17" i="6"/>
  <c r="M20" i="6"/>
  <c r="Y20" i="2"/>
  <c r="Z18" i="2"/>
  <c r="Z18" i="6" s="1"/>
  <c r="Y18" i="6"/>
  <c r="L6" i="9" l="1"/>
  <c r="J6" i="9" s="1"/>
  <c r="M4" i="5"/>
  <c r="Y20" i="6"/>
  <c r="Z20" i="2"/>
  <c r="Y27" i="2"/>
  <c r="Y27" i="6" s="1"/>
  <c r="Z19" i="2"/>
  <c r="Z19" i="6" s="1"/>
  <c r="Y19" i="6"/>
  <c r="M6" i="5" l="1"/>
  <c r="L7" i="5" s="1"/>
  <c r="M10" i="5" s="1"/>
  <c r="M11" i="5" s="1"/>
  <c r="M16" i="5" s="1"/>
  <c r="M18" i="5" s="1"/>
  <c r="A6" i="8"/>
  <c r="M4" i="7"/>
  <c r="M6" i="7" s="1"/>
  <c r="M11" i="7" s="1"/>
  <c r="M16" i="7" s="1"/>
  <c r="M18" i="7" s="1"/>
  <c r="D6" i="9"/>
  <c r="L21" i="5" s="1"/>
  <c r="M21" i="7"/>
  <c r="M23" i="7" s="1"/>
  <c r="M35" i="7" s="1"/>
  <c r="M32" i="5"/>
  <c r="Z20" i="6"/>
  <c r="Z27" i="2"/>
  <c r="Z27" i="6" s="1"/>
  <c r="K7" i="9" l="1"/>
  <c r="M7" i="9" s="1"/>
  <c r="L7" i="9" s="1"/>
  <c r="L29" i="5"/>
  <c r="M31" i="5" s="1"/>
  <c r="M36" i="7"/>
  <c r="M37" i="7" s="1"/>
  <c r="M34" i="5" l="1"/>
  <c r="M46" i="5" s="1"/>
  <c r="M47" i="5" s="1"/>
  <c r="M48" i="5" s="1"/>
  <c r="D6" i="8"/>
  <c r="C10" i="8"/>
  <c r="C11" i="8" s="1"/>
  <c r="M41" i="7"/>
  <c r="M46" i="7"/>
  <c r="M44" i="7"/>
  <c r="M42" i="7"/>
  <c r="M43" i="7"/>
  <c r="M45" i="7"/>
  <c r="M47" i="7" l="1"/>
  <c r="B6" i="8"/>
  <c r="M54" i="5"/>
  <c r="M53" i="5"/>
  <c r="M52" i="5"/>
  <c r="M55" i="5" s="1"/>
  <c r="M48" i="7" l="1"/>
  <c r="M49" i="7" s="1"/>
  <c r="M50" i="7" s="1"/>
  <c r="M51" i="7" s="1"/>
  <c r="M53" i="7" s="1"/>
  <c r="M56" i="5"/>
  <c r="M57" i="5" s="1"/>
  <c r="M58" i="5" s="1"/>
  <c r="M59" i="5" s="1"/>
  <c r="M61" i="5" s="1"/>
  <c r="M56" i="7" l="1"/>
  <c r="A56" i="7"/>
  <c r="M64" i="5"/>
  <c r="A64" i="5"/>
  <c r="C9" i="8" l="1"/>
  <c r="C8" i="8"/>
</calcChain>
</file>

<file path=xl/sharedStrings.xml><?xml version="1.0" encoding="utf-8"?>
<sst xmlns="http://schemas.openxmlformats.org/spreadsheetml/2006/main" count="564" uniqueCount="334">
  <si>
    <t>Employee Name</t>
  </si>
  <si>
    <t>Ashwini Kumar Sharma</t>
  </si>
  <si>
    <t>Post</t>
  </si>
  <si>
    <t>वरिष्ठ अध्यापक</t>
  </si>
  <si>
    <t>Cader</t>
  </si>
  <si>
    <t>Are you in Probation</t>
  </si>
  <si>
    <t>PAY-Level</t>
  </si>
  <si>
    <t>Employee ID</t>
  </si>
  <si>
    <t>RJNA201228008021</t>
  </si>
  <si>
    <t>PAN NO.</t>
  </si>
  <si>
    <t>AAAA9456A</t>
  </si>
  <si>
    <t>SI No.</t>
  </si>
  <si>
    <t>GPF/PRAN No.</t>
  </si>
  <si>
    <t>1234567891011</t>
  </si>
  <si>
    <t>Bank Account No.</t>
  </si>
  <si>
    <t>123456789101112</t>
  </si>
  <si>
    <t>Mobile No.</t>
  </si>
  <si>
    <t>मार्च का बेसिक</t>
  </si>
  <si>
    <t>HRA Rate</t>
  </si>
  <si>
    <t>SIP (Monthly Amount)</t>
  </si>
  <si>
    <t>GPF (Monthly Amount)</t>
  </si>
  <si>
    <t>CCA (Monthly Amount)</t>
  </si>
  <si>
    <t>Washing All. Monthly</t>
  </si>
  <si>
    <t>Handi. All. Monthly</t>
  </si>
  <si>
    <t>बोनस मिला या नहीं</t>
  </si>
  <si>
    <t>बोनस कितने माह का</t>
  </si>
  <si>
    <t>DA Arrear मिला या नहीं</t>
  </si>
  <si>
    <t>60-80 वर्ग</t>
  </si>
  <si>
    <t>क्या आप Covid-19 कटौती रखना चाहते है</t>
  </si>
  <si>
    <t>वेतन एवं कटौतियों का ब्यौरा सत्र 2020-21</t>
  </si>
  <si>
    <t>नाम कर्मचारी-</t>
  </si>
  <si>
    <t>पद-</t>
  </si>
  <si>
    <t>लेवल-</t>
  </si>
  <si>
    <t>Employee ID-</t>
  </si>
  <si>
    <t>मार्च का बेसिक-</t>
  </si>
  <si>
    <t>पैन नं.-</t>
  </si>
  <si>
    <t>Mobile-</t>
  </si>
  <si>
    <t>SI No.-</t>
  </si>
  <si>
    <t>GPF/PRAN No.-</t>
  </si>
  <si>
    <t>बैंक खाता सं.-</t>
  </si>
  <si>
    <t>Month &amp; Year</t>
  </si>
  <si>
    <t>Basic Pay</t>
  </si>
  <si>
    <t>DA</t>
  </si>
  <si>
    <t>HRA</t>
  </si>
  <si>
    <t>Washing Allow.</t>
  </si>
  <si>
    <t>Handicaped Allowance</t>
  </si>
  <si>
    <t>Other Allowance 2</t>
  </si>
  <si>
    <t>Gross Salary</t>
  </si>
  <si>
    <t>SIP</t>
  </si>
  <si>
    <t>GPF</t>
  </si>
  <si>
    <t>NPS</t>
  </si>
  <si>
    <t>GPF Loan</t>
  </si>
  <si>
    <t>RPMF</t>
  </si>
  <si>
    <t>SI Arrear</t>
  </si>
  <si>
    <t>GIS</t>
  </si>
  <si>
    <t>LIC</t>
  </si>
  <si>
    <t>COVIS-19</t>
  </si>
  <si>
    <t>GPF 2004</t>
  </si>
  <si>
    <t>ITAX</t>
  </si>
  <si>
    <t>Total Deduction</t>
  </si>
  <si>
    <t>NET Payment</t>
  </si>
  <si>
    <t>Bill No./ Dte</t>
  </si>
  <si>
    <t>DA Arrear 07-19 to 12-19</t>
  </si>
  <si>
    <t>DA Arrear 01-20 to 02-20</t>
  </si>
  <si>
    <t>Bonus</t>
  </si>
  <si>
    <t>Surrender</t>
  </si>
  <si>
    <t>Fixation Arrear</t>
  </si>
  <si>
    <t>Total</t>
  </si>
  <si>
    <t>Signature Of Employee</t>
  </si>
  <si>
    <t>Signature Of DDO</t>
  </si>
  <si>
    <t>कार्यालय में पोस्ट विवरण</t>
  </si>
  <si>
    <t>अतिरिक्त जिला शिक्षा अधिकारी</t>
  </si>
  <si>
    <t>अतिरिक्त प्रशासनिक अधिकारी</t>
  </si>
  <si>
    <t>अध्यापक</t>
  </si>
  <si>
    <t>आशुलिपिक</t>
  </si>
  <si>
    <t>उप जिला शिक्षा अधिकारी (शारीरिक शिक्षा)</t>
  </si>
  <si>
    <t>उपनिदेशक</t>
  </si>
  <si>
    <t>कनिष्ठ लेखाकार</t>
  </si>
  <si>
    <t>कनिष्ठ विधि अधिकारी</t>
  </si>
  <si>
    <t>कनिष्ठ सहायक</t>
  </si>
  <si>
    <t>कृषि अध्यापक</t>
  </si>
  <si>
    <t>कृषि शिक्षा प्रभारी</t>
  </si>
  <si>
    <t>चतुर्थ श्रेणी कर्मचारी</t>
  </si>
  <si>
    <t>जमादार</t>
  </si>
  <si>
    <t>जिला शिक्षा अधिकारी</t>
  </si>
  <si>
    <t>पुस्तकालय अध्यक्ष श्रेणी II</t>
  </si>
  <si>
    <t>पुस्तकालय अध्यक्ष श्रेणी III</t>
  </si>
  <si>
    <t>पुस्तकालय अध्यक्ष श्रेणी I</t>
  </si>
  <si>
    <t>प्रधानाचार्य</t>
  </si>
  <si>
    <t>प्रधानाध्यापक‌</t>
  </si>
  <si>
    <t>प्रयोगशाला परिचारक</t>
  </si>
  <si>
    <t>प्रयोगशाला सहायक II</t>
  </si>
  <si>
    <t>प्रयोगशाला सहायक III</t>
  </si>
  <si>
    <t>प्रशासनिक अधिकारी</t>
  </si>
  <si>
    <t>प्रशिक्षक</t>
  </si>
  <si>
    <t>फील्ड मैन व फील्ड रिक़ॉर्डर</t>
  </si>
  <si>
    <t>वरिष्ठ सहायक</t>
  </si>
  <si>
    <t>वाहन चालक</t>
  </si>
  <si>
    <t>व्याख्याता स्कूल(शिक्षा)</t>
  </si>
  <si>
    <t>शारीरिक शिक्षक श्रेणी I</t>
  </si>
  <si>
    <t>शारीरिक शिक्षक श्रेणी II</t>
  </si>
  <si>
    <t>शारीरिक शिक्षक श्रेणी III</t>
  </si>
  <si>
    <t>सहायक प्रशासनिक अधिकारी</t>
  </si>
  <si>
    <t>सहायक लेखाधिकारी ग्रेड - I</t>
  </si>
  <si>
    <t>स्‍थापना अधिकारी</t>
  </si>
  <si>
    <t>प्रबोधक</t>
  </si>
  <si>
    <t>L-1</t>
  </si>
  <si>
    <t>Pay - Level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</si>
  <si>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</si>
  <si>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</si>
  <si>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</si>
  <si>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</si>
  <si>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</si>
  <si>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</si>
  <si>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</si>
  <si>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</si>
  <si>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</si>
  <si>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</si>
  <si>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</si>
  <si>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</si>
  <si>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</si>
  <si>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</si>
  <si>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</si>
  <si>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</si>
  <si>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</si>
  <si>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</si>
  <si>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</si>
  <si>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</si>
  <si>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</si>
  <si>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</si>
  <si>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</si>
  <si>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SI Loan (Monthly Amount)</t>
  </si>
  <si>
    <t>GPF Loan (Monthly Amount)</t>
  </si>
  <si>
    <t>No</t>
  </si>
  <si>
    <t>Yes</t>
  </si>
  <si>
    <t>समर्पित 19-20 कौनसे माह में उठाया</t>
  </si>
  <si>
    <t>समर्पित 20-21 कौनसे माह में उठाया</t>
  </si>
  <si>
    <t>कार्यालय प्रधानाचार्य राजकीय उच्च माध्यमिक विद्यालय, रूपपुरा</t>
  </si>
  <si>
    <t>TAN No.</t>
  </si>
  <si>
    <t>CCA Allowance</t>
  </si>
  <si>
    <t>SI Loan</t>
  </si>
  <si>
    <t>March</t>
  </si>
  <si>
    <t>Corona</t>
  </si>
  <si>
    <t>SEP</t>
  </si>
  <si>
    <t>OCT</t>
  </si>
  <si>
    <t>NOV</t>
  </si>
  <si>
    <t>DEC</t>
  </si>
  <si>
    <t>JAN</t>
  </si>
  <si>
    <t>FEB</t>
  </si>
  <si>
    <t>Hitkari Nidhi</t>
  </si>
  <si>
    <t>Other</t>
  </si>
  <si>
    <t>Are You NPS Employee</t>
  </si>
  <si>
    <t>Subordinate</t>
  </si>
  <si>
    <t>Salary Arrear1</t>
  </si>
  <si>
    <t>Salary Arrear2</t>
  </si>
  <si>
    <t>आयकर गणना प्रपत्र वर्ष 2020-21</t>
  </si>
  <si>
    <t>नाम कर्मचारी</t>
  </si>
  <si>
    <t>पद</t>
  </si>
  <si>
    <t>पैन नं.</t>
  </si>
  <si>
    <t>आय वर्ष 2020-21 में प्राप्त कुल वेतन -</t>
  </si>
  <si>
    <t>गृह किराया, धारा 10 (13-A) के अंतर्गत एवं धारा 10 (14) के अंतर्गत अन्य भत्ते जो कर मुक्त है -</t>
  </si>
  <si>
    <t>शेष (2-3)</t>
  </si>
  <si>
    <t>(I)Standard Deduction Maxium 50000 धारा 16 (i a)</t>
  </si>
  <si>
    <t>(II)मनोरंजन भत्ता धारा 16 (ii) के अंतर्गत Maxium 5000</t>
  </si>
  <si>
    <t>(III)वयवसाय कर धारा 16 (iii) के अंतर्गत</t>
  </si>
  <si>
    <t>योग 5</t>
  </si>
  <si>
    <t>शेष (4-5)</t>
  </si>
  <si>
    <t>(अ) गृह सम्पति से आय (1) स्वयं के उपयोग में शून्य</t>
  </si>
  <si>
    <t>(2) प्राप्त किराया रूपये</t>
  </si>
  <si>
    <t>(ब) घटाइए</t>
  </si>
  <si>
    <t>किराये का 30%</t>
  </si>
  <si>
    <t>गृह ऋण पर ब्याज</t>
  </si>
  <si>
    <t>गृह कर</t>
  </si>
  <si>
    <t>योग 7 (ब)</t>
  </si>
  <si>
    <t>शेष - / + (7(अ) एवं 7 (ब) का)</t>
  </si>
  <si>
    <t>कुल शेष - / + (6 एवं 7)</t>
  </si>
  <si>
    <t>अन्य आय</t>
  </si>
  <si>
    <t>सकल आय (योग 8+9)</t>
  </si>
  <si>
    <t>कटौतिया घटाइए - धारा US 80C, 80CCC, 80CCD(1)</t>
  </si>
  <si>
    <t>(A) अधिकतम सीमा 150000 (धारा 80CCE), धारा 80CCD(2) के अलावा</t>
  </si>
  <si>
    <t>राज्य बीमा (SI)</t>
  </si>
  <si>
    <t>EPEF (80CCD1)</t>
  </si>
  <si>
    <t>पेंशन प्लान हेतु अंशदान धारा (80CCC)</t>
  </si>
  <si>
    <t>GPF/GPF2004</t>
  </si>
  <si>
    <t>राष्ट्रीय बचत पत्र पर ब्याज</t>
  </si>
  <si>
    <t>राष्ट्रीय बचत पत्र (NSC)</t>
  </si>
  <si>
    <t>ट्यूशन फीस</t>
  </si>
  <si>
    <t>लोक भविष्य निधि (PPF)</t>
  </si>
  <si>
    <t>इक्विटी लिंक सेविंग स्कीम</t>
  </si>
  <si>
    <t>राष्ट्रीय बचत स्कीम (NSS)</t>
  </si>
  <si>
    <t>Defferred Annuty</t>
  </si>
  <si>
    <t>PLI</t>
  </si>
  <si>
    <t>ULIP / वार्षिक प्लान</t>
  </si>
  <si>
    <t>धारा 80C के अंतर्गत अन्य जमा राशि</t>
  </si>
  <si>
    <t>Home Loan Premium</t>
  </si>
  <si>
    <t>योग 1 से 18 तक</t>
  </si>
  <si>
    <t>सुकन्या योजना में जमा</t>
  </si>
  <si>
    <t xml:space="preserve">अधिकतम कटौती राशि रूपए 150000 तक </t>
  </si>
  <si>
    <t>(B)</t>
  </si>
  <si>
    <t>घटाइए धारा 80CCD (2) नियोक्ता द्वारा पेंशन अंशदान की राशि (अधिकतम वेतन का 10%)</t>
  </si>
  <si>
    <t>(C)</t>
  </si>
  <si>
    <t>घटाइए धारा 80CCD (1B)नवीन पेंशन योजना में अतिरिक्त अंशदान (अधिकतम रूपए 50000)</t>
  </si>
  <si>
    <t>योग 11 (A+B+C)</t>
  </si>
  <si>
    <t>अन्य कटौतिया</t>
  </si>
  <si>
    <r>
      <t xml:space="preserve">धारा 80 D, चिकित्सा बीमा प्रीमियम </t>
    </r>
    <r>
      <rPr>
        <sz val="8"/>
        <color theme="1"/>
        <rFont val="Calibri"/>
        <family val="2"/>
        <scheme val="minor"/>
      </rPr>
      <t>(स्वयं,पति/पत्नी व बच्चों के लिए रू 25000, माता-पिता के लिए रू 25000,सीनियर सिटीजन रू 50000)</t>
    </r>
  </si>
  <si>
    <t>धारा 80DD विकलांग आश्रितों के चिकित्सा उपचार (अधिकतम 75,000 तथा 80% या अधिक विकलांगता 125,000)</t>
  </si>
  <si>
    <t>धारा 80 DB विशिष्ट रोंगों के उपचार हेतु कटौती (अधिकतम रू 40,000, सीनियर सिटीजन हेतु रू 100,000)</t>
  </si>
  <si>
    <t>धारा 80 E उच्च शिक्षा हेतु लिए ऋण का ब्याज</t>
  </si>
  <si>
    <t>धारा 80 G धर्मार्थ संस्थाओं आदि को दिये दान ( क श्रेणी में 100 प्रतिशत एवं ख श्रेणी में 50 प्रतिशत)</t>
  </si>
  <si>
    <r>
      <t xml:space="preserve">धारा 80 U स्थाई रूप से शारीरिक असमर्थतता की दशा में </t>
    </r>
    <r>
      <rPr>
        <sz val="9"/>
        <color theme="1"/>
        <rFont val="Calibri"/>
        <family val="2"/>
        <scheme val="minor"/>
      </rPr>
      <t>(अधिकतम 75,000 तथा  अधिनियम 1995के अनुसार 125,000)</t>
    </r>
  </si>
  <si>
    <t>धारा 80 TTA बचत खाते पर ब्याज की अधिकतम छूट रू. 10,000  U/S 194(IA)</t>
  </si>
  <si>
    <t>धारा 80 TTB वरिष्ठ नागरिकों को सभी प्रकार के ब्याज पर अधिकतम छूट-  50000 रू.  U/S 194(A)</t>
  </si>
  <si>
    <t>धारा 80 GGA अनुमोदित वैज्ञानिक, सामाजिक, ग्रामीण विकास आदि हेतु दिया गया दान</t>
  </si>
  <si>
    <t>योग 12 (1 to 9)</t>
  </si>
  <si>
    <t>कुल कटौती (11+12)</t>
  </si>
  <si>
    <t>कर योग्य आय (10-13)</t>
  </si>
  <si>
    <t xml:space="preserve">कुल आय की राशि को सम्पूर्ण करना (दस के गुणक में) धारा 288 A </t>
  </si>
  <si>
    <t>आयकर की गणना</t>
  </si>
  <si>
    <t xml:space="preserve">एक व्यक्ति कर दाता </t>
  </si>
  <si>
    <t>वरिष्ठ नागरिक (60 से 80 वर्ष)</t>
  </si>
  <si>
    <t>80 वर्ष या अधिक आयु</t>
  </si>
  <si>
    <t>250000 तक</t>
  </si>
  <si>
    <t>NIL</t>
  </si>
  <si>
    <t>300000 तक</t>
  </si>
  <si>
    <t>250001 से 50000 तक</t>
  </si>
  <si>
    <t>300001 से 50000 तक</t>
  </si>
  <si>
    <t>50000 तक</t>
  </si>
  <si>
    <t>500001 से 1000000 तक</t>
  </si>
  <si>
    <t>1000001 से अधिक</t>
  </si>
  <si>
    <t>योग आयकर</t>
  </si>
  <si>
    <t>छूट घारा 87(A) (2.50 लाख से 5 लाख तक की कर योग्य आय पर आयकर की छूट अधिकतम रू. 12500 तक)</t>
  </si>
  <si>
    <t>शेष आयकर (1-2)</t>
  </si>
  <si>
    <t>शिक्षा उपकर 2% एवं उच्च शिक्षा के लिए अधिभार 2%  (योग 4%)</t>
  </si>
  <si>
    <t>कुल आयकर (3+4)</t>
  </si>
  <si>
    <t>घटाइये :- राहत धारा 89 के तहत</t>
  </si>
  <si>
    <t>कुल शेष आयकर</t>
  </si>
  <si>
    <t>आयकर कटौती का विवरण</t>
  </si>
  <si>
    <t>सितम्बर   2020 तक</t>
  </si>
  <si>
    <t>अक्टूबर से दिसम्बर 2020 तक</t>
  </si>
  <si>
    <t>जनवरी 2021</t>
  </si>
  <si>
    <t>फ़रवरी 2021</t>
  </si>
  <si>
    <t>टी.डी.एस.</t>
  </si>
  <si>
    <t>कुल टैक्स कटौती (योग कॉलम 19)</t>
  </si>
  <si>
    <t>(A) धारा  US 80C, 80CCC, 80CCD(1) अधिकतम कटौती की राशि</t>
  </si>
  <si>
    <t>(B) धारा 80CCD(2) नियोक्ता द्वारा पेंशन अंशदान की राशि (अधिकतम वेतन का 10% पृथक से छूट)</t>
  </si>
  <si>
    <t>(C) धारा 80CCD(1B) नवीन पेंशन योजना में अतिरिक्त अंशदान (अधिकतम रू. 50,000)</t>
  </si>
  <si>
    <t>धारा 80DD विकलांग आश्रितों के चिकित्सा उपचार (अधिकतम 75,000 तथा 80ः या अधिक विकलांगता 125,000)</t>
  </si>
  <si>
    <t>250001 से 500000 तक</t>
  </si>
  <si>
    <t>300001 से 500000 तक</t>
  </si>
  <si>
    <t>500001 से 750000 तक</t>
  </si>
  <si>
    <t>750001 से 1000000 तक</t>
  </si>
  <si>
    <t>1000001 से 1250000 तक</t>
  </si>
  <si>
    <t>1250000 से 1500000 तक</t>
  </si>
  <si>
    <t>1500000  से अधिक</t>
  </si>
  <si>
    <t>Name Of Employee</t>
  </si>
  <si>
    <t>Gross Pay</t>
  </si>
  <si>
    <t>Taxable Amt</t>
  </si>
  <si>
    <t>Tax Deposit</t>
  </si>
  <si>
    <t>Rebate Under Section 80C, 80CCC, 80CCD(1)</t>
  </si>
  <si>
    <t>मकान किराया छूट के लिए रसीद की आवश्यकता</t>
  </si>
  <si>
    <t>TAX Position (Old Tax Scheme)</t>
  </si>
  <si>
    <t>TAX Position (New Tax Scheme)</t>
  </si>
  <si>
    <t>Total Rebate Under Section 80C, 80CCC, 80CCD(1)</t>
  </si>
  <si>
    <t>Investable Amount</t>
  </si>
  <si>
    <t>गृह सम्पति से प्राप्त किराया - आय</t>
  </si>
  <si>
    <t xml:space="preserve">गृहकर </t>
  </si>
  <si>
    <t>सरकारी पेंशन योजना में कर्मचारी का अंशदान अधिकतम वेतन का 10% धारा 80 CCD(1)</t>
  </si>
  <si>
    <t>Covid - 19 (धारा 80G)</t>
  </si>
  <si>
    <t>गृह ऋण किस्त मूल (जो वेतन से नहीं काटा गया)</t>
  </si>
  <si>
    <t>गृह ऋण किस्त ब्याज (जो वेतन से नहीं काटा गया)</t>
  </si>
  <si>
    <t>LIC जीवन बीमा प्रीमियम (जो वेतन से नही काटा गया)</t>
  </si>
  <si>
    <t>PLI (पी.एल.आई.)</t>
  </si>
  <si>
    <t>टयूशन फीस</t>
  </si>
  <si>
    <t>PPF (लोक भविष्य निधि)</t>
  </si>
  <si>
    <t>सुकन्या समृद्धि योजना</t>
  </si>
  <si>
    <t>यू. एल. आई. पी./वार्षिक प्लान</t>
  </si>
  <si>
    <t>NSS (राष्ट्रीय बचत स्कीम)</t>
  </si>
  <si>
    <t>NSC (राष्ट्रीय बचत पत्र)</t>
  </si>
  <si>
    <t>बचत खाते की जमा राशि पर प्राप्त ब्याज</t>
  </si>
  <si>
    <t xml:space="preserve"> Defferred Annuty (स्थगित वार्षिकी)</t>
  </si>
  <si>
    <t xml:space="preserve">मनोरंजन भता धारा 16 (II) के अन्तर्गत </t>
  </si>
  <si>
    <t xml:space="preserve">व्यवयाय कर धारा 16 (III) के अन्तगर्त </t>
  </si>
  <si>
    <t>एफडी आदि अन्य जमा राशि पर प्राप्त कुल ब्याज (पीपीएफ को छोड़कर)</t>
  </si>
  <si>
    <t>अन्य विभिन्न स्त्रो़त्र (ब्याज के अलावा) से कुल आय</t>
  </si>
  <si>
    <t>धारा 80 सी के अन्तर्गत अन्य मद में जमा करायी गयी राशि</t>
  </si>
  <si>
    <t>धारा 80 CCC पेंशन प्लान हेतु अंशदान (एन.पी.एस. के अलावा)</t>
  </si>
  <si>
    <t>धारा 80CCD (1B) नवीन पेंशन योजना में अतिरिक्त अंशदान (अधिकतम रू. 50,000)</t>
  </si>
  <si>
    <t>धारा 80D चिकित्सा बीमा प्रीमियम (सामान्य 25000, वरिष्ठ नागरिक 50000)</t>
  </si>
  <si>
    <t>धारा 80DD विकलांग आश्रितों के चिकित्सा उपचार(अधिकतम 75000, 80% विकलांगता 125000)</t>
  </si>
  <si>
    <t>धारा 80DDB विशिष्ट रोगों के उपचार हेतु कटौती (सामान्य 40000, वरिष्ठ नागरिक 1 लाख)</t>
  </si>
  <si>
    <t>धारा 80E उच्च शिक्षा हेतु लिए ऋण का ब्याज</t>
  </si>
  <si>
    <t>धारा 80U स्थाई शारीरिक विकलांगता (अधिकतम 75000ए 80% विकलांगता 125000)</t>
  </si>
  <si>
    <t>धारा 80GGA अनुमोदित वैज्ञानिक,सामाजिक,ग्रामीण विकास हेतु दिया गया दान</t>
  </si>
  <si>
    <t>राहत धारा 89 के अन्तर्गत</t>
  </si>
  <si>
    <t>वेतन बिल के अलावा जमा कराया गया आयकर (TDS)</t>
  </si>
  <si>
    <t>धारा 10(14) के अन्तर्गत भत्ते जो करमुक्त है</t>
  </si>
  <si>
    <t>धारा 80G धर्मार्थ संस्थाओं आदि को दिये दान (क श्रेणी 100% एवं ख श्रेणी 50%)</t>
  </si>
  <si>
    <t>Deductions other than Salry</t>
  </si>
  <si>
    <t>मकान किराया भत्ता ( छूट जो लेनी है) YES/NO</t>
  </si>
  <si>
    <t>समर्पित 19-20 उठाया या नहीं</t>
  </si>
  <si>
    <t>समर्पित 20-21  उठाया या नहीं</t>
  </si>
  <si>
    <t>Other Allowance</t>
  </si>
  <si>
    <t>आयकर गणना प्रपत्र 2020-21</t>
  </si>
  <si>
    <t>Master Sheet Instruction</t>
  </si>
  <si>
    <t>अपना नाम लिखिए</t>
  </si>
  <si>
    <t>अपनी पोस्ट ड्राप डाउन लिस्ट में से चयन करे |</t>
  </si>
  <si>
    <t>अपना कैडर चयन करे |</t>
  </si>
  <si>
    <t>अगर आप प्रोबेशन में है तो ड्राप डाउन में से YES का चयन करे अन्यथा NO का चयन करे |</t>
  </si>
  <si>
    <t>अपना पे लेवल का चयन ड्राप डाउन लिस्ट में से करे |</t>
  </si>
  <si>
    <t>अपनी एम्प्लोयी आईडी लिखिए |</t>
  </si>
  <si>
    <t>अपना पैन नंबर लिखिए |</t>
  </si>
  <si>
    <t>अपने एस.आई. नंबर लिखिए |</t>
  </si>
  <si>
    <t>अपने GPF या PRAN नंबर लिखिए |</t>
  </si>
  <si>
    <t>अपने बैंक अकाउंट नंबर लिखिए |</t>
  </si>
  <si>
    <t>अपने मोबाइल नंबर लिखिए |</t>
  </si>
  <si>
    <t>आपका मार्च का बेसिक लिखिये |</t>
  </si>
  <si>
    <t xml:space="preserve">अपनी हाउस रेंट का प्रतिशत ड्राप डाउन में से चयन करे | </t>
  </si>
  <si>
    <t>एस.आई. का मासिक अमाउंट लिखिए |</t>
  </si>
  <si>
    <t>एस.आई. लोन का मासिक अमाउंट लिखिए |</t>
  </si>
  <si>
    <t>GPF का मासिक अमाउंट लिखिए |</t>
  </si>
  <si>
    <t>GPF लोन का मासिक अमाउंट लिखिए |</t>
  </si>
  <si>
    <t>यदि आप NPS एम्प्लोई है तो ड्राप डाउन में से YES का चयन करे अन्यथा NO का चयन करे |</t>
  </si>
  <si>
    <t>यदि आपको बोनस मिला है तो ड्राप डाउन में से YES का चयन करे अन्यथा NO का चयन करे |</t>
  </si>
  <si>
    <t>यदि बोनस मिला है तो कितने महीने का मिला है ड्राप डाउन लिस्ट में से चयन करे |</t>
  </si>
  <si>
    <t>यदि आपको DA Arrear  मिला है तो ड्राप डाउन में से YES का चयन करे अन्यथा NO का चयन करे |</t>
  </si>
  <si>
    <t>यदि आपने सत्र 2019-20 में समर्पित उठाया  है तो ड्राप डाउन में से YES का चयन करे अन्यथा NO का चयन करे |</t>
  </si>
  <si>
    <t>सत्र 2019-20 में समर्पित कौनसे माह में उठाया उस माह का क्रमांक भरे |</t>
  </si>
  <si>
    <t>यदि आप 60-80 वर्ष की आयु वर्ग के है तो ड्राप डाउन में से YES का चयन करे अन्यथा NO का चयन करे |</t>
  </si>
  <si>
    <t>यदि आपने सत्र 2020-21 में समर्पित उठाया  है तो ड्राप डाउन में से YES का चयन करे अन्यथा NO का चयन करे |</t>
  </si>
  <si>
    <t>सत्र 2020-21 में समर्पित कौनसे माह में उठाया उस माह का क्रमांक भरे |</t>
  </si>
  <si>
    <t>यदि आप Covid-19 की कटौती जारी रखना चाहते हो तो ड्राप डाउन में से YES का चयन करे अन्यथा NO का चयन करे |</t>
  </si>
  <si>
    <t xml:space="preserve">मकान किराया भत्ता ( छूट जो लेनी है) </t>
  </si>
  <si>
    <t>Other Ded. Sheet Instruction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</si>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</sst>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3" tint="-0.249977111117893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26"/>
      <color rgb="FFFF000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color theme="3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86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0" fontId="0" fillId="0" borderId="14" xfId="0" applyBorder="1" applyAlignment="1" applyProtection="1">
      <alignment vertical="center"/>
      <protection locked="0"/>
    </xf>
    <xf numFmtId="0" fontId="0" fillId="0" borderId="15" xfId="0" applyBorder="1" applyAlignment="1" applyProtection="1">
      <alignment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49" fontId="9" fillId="0" borderId="2" xfId="0" applyNumberFormat="1" applyFont="1" applyBorder="1" applyAlignment="1" applyProtection="1">
      <alignment horizontal="left" vertical="center"/>
      <protection locked="0"/>
    </xf>
    <xf numFmtId="9" fontId="9" fillId="0" borderId="2" xfId="0" applyNumberFormat="1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0" fillId="0" borderId="0" xfId="0" applyBorder="1" applyProtection="1">
      <protection hidden="1"/>
    </xf>
    <xf numFmtId="0" fontId="5" fillId="0" borderId="0" xfId="0" applyFont="1" applyBorder="1" applyAlignment="1" applyProtection="1">
      <alignment horizontal="left" vertical="center" wrapText="1"/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 applyProtection="1">
      <alignment vertical="center"/>
      <protection hidden="1"/>
    </xf>
    <xf numFmtId="0" fontId="7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1" xfId="0" applyNumberFormat="1" applyFont="1" applyFill="1" applyBorder="1" applyAlignment="1" applyProtection="1">
      <alignment horizontal="center" textRotation="90" wrapText="1"/>
      <protection hidden="1"/>
    </xf>
    <xf numFmtId="17" fontId="0" fillId="0" borderId="1" xfId="0" applyNumberFormat="1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wrapText="1"/>
      <protection hidden="1"/>
    </xf>
    <xf numFmtId="0" fontId="0" fillId="0" borderId="1" xfId="0" applyBorder="1" applyProtection="1">
      <protection hidden="1"/>
    </xf>
    <xf numFmtId="0" fontId="0" fillId="0" borderId="1" xfId="0" applyFill="1" applyBorder="1" applyAlignment="1" applyProtection="1">
      <alignment horizontal="center" vertical="center"/>
      <protection hidden="1"/>
    </xf>
    <xf numFmtId="3" fontId="12" fillId="0" borderId="1" xfId="0" applyNumberFormat="1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locked="0"/>
    </xf>
    <xf numFmtId="0" fontId="5" fillId="0" borderId="11" xfId="0" applyFont="1" applyBorder="1" applyAlignment="1" applyProtection="1">
      <alignment horizontal="center" vertical="center"/>
      <protection hidden="1"/>
    </xf>
    <xf numFmtId="0" fontId="6" fillId="0" borderId="12" xfId="0" applyFont="1" applyBorder="1" applyAlignment="1" applyProtection="1">
      <alignment vertical="center"/>
      <protection hidden="1"/>
    </xf>
    <xf numFmtId="2" fontId="1" fillId="0" borderId="12" xfId="0" applyNumberFormat="1" applyFont="1" applyBorder="1" applyAlignment="1" applyProtection="1">
      <alignment vertical="center"/>
      <protection hidden="1"/>
    </xf>
    <xf numFmtId="2" fontId="6" fillId="0" borderId="24" xfId="0" applyNumberFormat="1" applyFont="1" applyBorder="1" applyAlignment="1" applyProtection="1">
      <alignment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2" fontId="6" fillId="0" borderId="1" xfId="0" applyNumberFormat="1" applyFont="1" applyBorder="1" applyAlignment="1" applyProtection="1">
      <alignment vertical="center"/>
      <protection hidden="1"/>
    </xf>
    <xf numFmtId="2" fontId="1" fillId="0" borderId="10" xfId="0" applyNumberFormat="1" applyFont="1" applyBorder="1" applyAlignment="1" applyProtection="1">
      <alignment vertical="center"/>
      <protection hidden="1"/>
    </xf>
    <xf numFmtId="0" fontId="5" fillId="0" borderId="1" xfId="0" applyFont="1" applyBorder="1" applyAlignment="1" applyProtection="1">
      <alignment vertical="center"/>
      <protection hidden="1"/>
    </xf>
    <xf numFmtId="9" fontId="5" fillId="0" borderId="1" xfId="0" applyNumberFormat="1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 vertical="center" wrapText="1"/>
      <protection hidden="1"/>
    </xf>
    <xf numFmtId="0" fontId="5" fillId="0" borderId="12" xfId="0" applyFont="1" applyBorder="1" applyAlignment="1" applyProtection="1">
      <alignment horizontal="center" vertical="center" wrapText="1"/>
      <protection hidden="1"/>
    </xf>
    <xf numFmtId="2" fontId="6" fillId="0" borderId="1" xfId="0" applyNumberFormat="1" applyFont="1" applyBorder="1" applyAlignment="1" applyProtection="1">
      <alignment horizontal="center" vertical="center" wrapText="1"/>
      <protection hidden="1"/>
    </xf>
    <xf numFmtId="0" fontId="5" fillId="0" borderId="30" xfId="0" applyFont="1" applyBorder="1" applyAlignment="1" applyProtection="1">
      <alignment vertical="center"/>
      <protection hidden="1"/>
    </xf>
    <xf numFmtId="0" fontId="5" fillId="0" borderId="31" xfId="0" applyFont="1" applyBorder="1" applyAlignment="1" applyProtection="1">
      <alignment vertical="center"/>
      <protection hidden="1"/>
    </xf>
    <xf numFmtId="0" fontId="5" fillId="0" borderId="7" xfId="0" applyFont="1" applyBorder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locked="0"/>
    </xf>
    <xf numFmtId="3" fontId="9" fillId="0" borderId="1" xfId="0" applyNumberFormat="1" applyFont="1" applyFill="1" applyBorder="1" applyAlignment="1" applyProtection="1">
      <alignment horizontal="center" vertical="center" textRotation="90"/>
      <protection hidden="1"/>
    </xf>
    <xf numFmtId="2" fontId="16" fillId="0" borderId="1" xfId="0" applyNumberFormat="1" applyFont="1" applyFill="1" applyBorder="1" applyAlignment="1" applyProtection="1">
      <alignment horizontal="center" vertical="center"/>
      <protection hidden="1"/>
    </xf>
    <xf numFmtId="3" fontId="9" fillId="0" borderId="1" xfId="0" applyNumberFormat="1" applyFont="1" applyFill="1" applyBorder="1" applyAlignment="1" applyProtection="1">
      <alignment horizontal="center" vertical="center"/>
      <protection hidden="1"/>
    </xf>
    <xf numFmtId="0" fontId="19" fillId="0" borderId="1" xfId="0" applyFont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3" xfId="0" applyFont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2" fillId="0" borderId="14" xfId="1" applyFont="1" applyBorder="1" applyAlignment="1" applyProtection="1">
      <alignment vertical="center"/>
      <protection locked="0"/>
    </xf>
    <xf numFmtId="0" fontId="2" fillId="0" borderId="14" xfId="0" applyFont="1" applyBorder="1" applyAlignment="1" applyProtection="1">
      <alignment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Protection="1">
      <protection hidden="1"/>
    </xf>
    <xf numFmtId="0" fontId="0" fillId="0" borderId="0" xfId="0" applyAlignment="1" applyProtection="1">
      <alignment wrapText="1"/>
      <protection hidden="1"/>
    </xf>
    <xf numFmtId="0" fontId="1" fillId="2" borderId="1" xfId="0" applyFont="1" applyFill="1" applyBorder="1" applyAlignment="1" applyProtection="1">
      <alignment horizontal="left" vertical="center"/>
      <protection hidden="1"/>
    </xf>
    <xf numFmtId="0" fontId="1" fillId="2" borderId="2" xfId="0" applyFont="1" applyFill="1" applyBorder="1" applyAlignment="1" applyProtection="1">
      <alignment horizontal="left" vertical="center"/>
      <protection hidden="1"/>
    </xf>
    <xf numFmtId="0" fontId="6" fillId="2" borderId="1" xfId="0" applyFont="1" applyFill="1" applyBorder="1" applyAlignment="1" applyProtection="1">
      <alignment horizontal="left" vertical="center"/>
      <protection hidden="1"/>
    </xf>
    <xf numFmtId="0" fontId="6" fillId="2" borderId="1" xfId="0" applyFont="1" applyFill="1" applyBorder="1" applyAlignment="1" applyProtection="1">
      <alignment horizontal="left" vertical="center" wrapText="1"/>
      <protection hidden="1"/>
    </xf>
    <xf numFmtId="0" fontId="1" fillId="2" borderId="1" xfId="0" applyFont="1" applyFill="1" applyBorder="1" applyAlignment="1" applyProtection="1">
      <alignment horizontal="left" vertical="center" wrapText="1"/>
      <protection hidden="1"/>
    </xf>
    <xf numFmtId="0" fontId="0" fillId="0" borderId="0" xfId="0" applyBorder="1" applyProtection="1">
      <protection locked="0"/>
    </xf>
    <xf numFmtId="3" fontId="12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textRotation="90"/>
      <protection locked="0"/>
    </xf>
    <xf numFmtId="0" fontId="0" fillId="0" borderId="0" xfId="0" applyAlignment="1" applyProtection="1">
      <alignment vertical="center" wrapText="1"/>
      <protection locked="0"/>
    </xf>
    <xf numFmtId="3" fontId="9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 wrapText="1"/>
      <protection hidden="1"/>
    </xf>
    <xf numFmtId="2" fontId="0" fillId="0" borderId="0" xfId="0" applyNumberFormat="1" applyAlignment="1" applyProtection="1">
      <alignment vertical="center" wrapText="1"/>
      <protection hidden="1"/>
    </xf>
    <xf numFmtId="3" fontId="0" fillId="0" borderId="0" xfId="0" applyNumberFormat="1" applyAlignment="1" applyProtection="1">
      <alignment vertical="center" wrapText="1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 applyProtection="1">
      <alignment horizontal="left" vertical="center" wrapText="1"/>
      <protection hidden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3" fontId="0" fillId="0" borderId="0" xfId="0" applyNumberFormat="1" applyBorder="1" applyProtection="1">
      <protection locked="0"/>
    </xf>
    <xf numFmtId="0" fontId="0" fillId="0" borderId="0" xfId="0"/>
    <xf numFmtId="0" fontId="5" fillId="0" borderId="1" xfId="0" applyFont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vertical="center"/>
      <protection locked="0"/>
    </xf>
    <xf numFmtId="0" fontId="25" fillId="0" borderId="1" xfId="0" applyFont="1" applyBorder="1" applyAlignment="1">
      <alignment vertical="center" wrapText="1"/>
    </xf>
    <xf numFmtId="0" fontId="22" fillId="0" borderId="0" xfId="0" applyFont="1" applyAlignment="1">
      <alignment horizontal="center"/>
    </xf>
    <xf numFmtId="0" fontId="21" fillId="5" borderId="0" xfId="0" applyFont="1" applyFill="1" applyAlignment="1">
      <alignment horizontal="center" vertical="center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8" fillId="4" borderId="0" xfId="0" applyFont="1" applyFill="1" applyAlignment="1" applyProtection="1">
      <alignment horizontal="center" vertical="center"/>
      <protection locked="0"/>
    </xf>
    <xf numFmtId="0" fontId="20" fillId="5" borderId="0" xfId="0" applyFont="1" applyFill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left" vertic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 applyProtection="1">
      <alignment horizontal="left" vertical="center"/>
      <protection locked="0"/>
    </xf>
    <xf numFmtId="0" fontId="11" fillId="0" borderId="0" xfId="0" applyFont="1" applyBorder="1" applyAlignment="1" applyProtection="1">
      <alignment vertical="center"/>
      <protection hidden="1"/>
    </xf>
    <xf numFmtId="2" fontId="11" fillId="0" borderId="0" xfId="0" applyNumberFormat="1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/>
      <protection hidden="1"/>
    </xf>
    <xf numFmtId="0" fontId="1" fillId="0" borderId="20" xfId="0" applyFont="1" applyFill="1" applyBorder="1" applyAlignment="1" applyProtection="1">
      <alignment horizontal="left" vertical="center" wrapText="1"/>
      <protection hidden="1"/>
    </xf>
    <xf numFmtId="0" fontId="1" fillId="0" borderId="24" xfId="0" applyFont="1" applyFill="1" applyBorder="1" applyAlignment="1" applyProtection="1">
      <alignment horizontal="left" vertical="center" wrapText="1"/>
      <protection hidden="1"/>
    </xf>
    <xf numFmtId="0" fontId="15" fillId="4" borderId="0" xfId="0" applyFont="1" applyFill="1" applyAlignment="1" applyProtection="1">
      <alignment horizontal="center" vertical="center" wrapText="1"/>
      <protection hidden="1"/>
    </xf>
    <xf numFmtId="0" fontId="17" fillId="0" borderId="13" xfId="0" applyFont="1" applyBorder="1" applyAlignment="1" applyProtection="1">
      <alignment horizontal="center" vertical="center" wrapText="1"/>
      <protection hidden="1"/>
    </xf>
    <xf numFmtId="0" fontId="11" fillId="0" borderId="20" xfId="0" applyFont="1" applyFill="1" applyBorder="1" applyAlignment="1" applyProtection="1">
      <alignment vertical="center" wrapText="1"/>
      <protection hidden="1"/>
    </xf>
    <xf numFmtId="0" fontId="11" fillId="0" borderId="24" xfId="0" applyFont="1" applyFill="1" applyBorder="1" applyAlignment="1" applyProtection="1">
      <alignment vertical="center" wrapText="1"/>
      <protection hidden="1"/>
    </xf>
    <xf numFmtId="2" fontId="16" fillId="0" borderId="20" xfId="0" applyNumberFormat="1" applyFont="1" applyFill="1" applyBorder="1" applyAlignment="1" applyProtection="1">
      <alignment horizontal="center" vertical="center"/>
      <protection hidden="1"/>
    </xf>
    <xf numFmtId="2" fontId="16" fillId="0" borderId="14" xfId="0" applyNumberFormat="1" applyFont="1" applyFill="1" applyBorder="1" applyAlignment="1" applyProtection="1">
      <alignment horizontal="center" vertical="center"/>
      <protection hidden="1"/>
    </xf>
    <xf numFmtId="2" fontId="16" fillId="0" borderId="24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18" fillId="0" borderId="1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hidden="1"/>
    </xf>
    <xf numFmtId="0" fontId="11" fillId="0" borderId="13" xfId="0" applyFont="1" applyBorder="1" applyAlignment="1" applyProtection="1">
      <alignment horizontal="center" vertical="center"/>
      <protection hidden="1"/>
    </xf>
    <xf numFmtId="0" fontId="11" fillId="0" borderId="23" xfId="0" applyFont="1" applyBorder="1" applyAlignment="1" applyProtection="1">
      <alignment horizontal="center" vertical="center"/>
      <protection hidden="1"/>
    </xf>
    <xf numFmtId="0" fontId="5" fillId="0" borderId="20" xfId="0" applyFont="1" applyBorder="1" applyAlignment="1" applyProtection="1">
      <alignment horizontal="left" vertical="center"/>
      <protection hidden="1"/>
    </xf>
    <xf numFmtId="0" fontId="5" fillId="0" borderId="24" xfId="0" applyFont="1" applyBorder="1" applyAlignment="1" applyProtection="1">
      <alignment horizontal="left" vertical="center"/>
      <protection hidden="1"/>
    </xf>
    <xf numFmtId="0" fontId="1" fillId="0" borderId="20" xfId="0" applyFont="1" applyFill="1" applyBorder="1" applyAlignment="1" applyProtection="1">
      <alignment horizontal="left" vertical="center"/>
      <protection hidden="1"/>
    </xf>
    <xf numFmtId="0" fontId="1" fillId="0" borderId="14" xfId="0" applyFont="1" applyFill="1" applyBorder="1" applyAlignment="1" applyProtection="1">
      <alignment horizontal="left" vertical="center"/>
      <protection hidden="1"/>
    </xf>
    <xf numFmtId="0" fontId="1" fillId="0" borderId="24" xfId="0" applyFont="1" applyFill="1" applyBorder="1" applyAlignment="1" applyProtection="1">
      <alignment horizontal="left" vertical="center"/>
      <protection hidden="1"/>
    </xf>
    <xf numFmtId="0" fontId="6" fillId="0" borderId="20" xfId="0" applyFont="1" applyBorder="1" applyAlignment="1" applyProtection="1">
      <alignment horizontal="left" vertical="center"/>
      <protection hidden="1"/>
    </xf>
    <xf numFmtId="0" fontId="6" fillId="0" borderId="24" xfId="0" applyFont="1" applyBorder="1" applyAlignment="1" applyProtection="1">
      <alignment horizontal="left" vertical="center"/>
      <protection hidden="1"/>
    </xf>
    <xf numFmtId="0" fontId="5" fillId="0" borderId="14" xfId="0" applyFont="1" applyBorder="1" applyAlignment="1" applyProtection="1">
      <alignment horizontal="left" vertical="center"/>
      <protection hidden="1"/>
    </xf>
    <xf numFmtId="2" fontId="1" fillId="0" borderId="18" xfId="0" applyNumberFormat="1" applyFont="1" applyBorder="1" applyAlignment="1" applyProtection="1">
      <alignment horizontal="center" vertical="center"/>
      <protection hidden="1"/>
    </xf>
    <xf numFmtId="2" fontId="1" fillId="0" borderId="29" xfId="0" applyNumberFormat="1" applyFont="1" applyBorder="1" applyAlignment="1" applyProtection="1">
      <alignment horizontal="center" vertical="center"/>
      <protection hidden="1"/>
    </xf>
    <xf numFmtId="2" fontId="1" fillId="0" borderId="10" xfId="0" applyNumberFormat="1" applyFont="1" applyBorder="1" applyAlignment="1" applyProtection="1">
      <alignment horizontal="center" vertical="center"/>
      <protection hidden="1"/>
    </xf>
    <xf numFmtId="0" fontId="5" fillId="0" borderId="21" xfId="0" applyFont="1" applyBorder="1" applyAlignment="1" applyProtection="1">
      <alignment horizontal="center" vertical="center"/>
      <protection hidden="1"/>
    </xf>
    <xf numFmtId="0" fontId="5" fillId="0" borderId="25" xfId="0" applyFont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20" xfId="0" applyFont="1" applyBorder="1" applyAlignment="1" applyProtection="1">
      <alignment horizontal="center" vertical="center"/>
      <protection hidden="1"/>
    </xf>
    <xf numFmtId="0" fontId="5" fillId="0" borderId="24" xfId="0" applyFont="1" applyBorder="1" applyAlignment="1" applyProtection="1">
      <alignment horizontal="center" vertical="center"/>
      <protection hidden="1"/>
    </xf>
    <xf numFmtId="0" fontId="5" fillId="0" borderId="21" xfId="0" applyFont="1" applyBorder="1" applyAlignment="1" applyProtection="1">
      <alignment horizontal="left" vertical="center"/>
      <protection hidden="1"/>
    </xf>
    <xf numFmtId="0" fontId="5" fillId="0" borderId="15" xfId="0" applyFont="1" applyBorder="1" applyAlignment="1" applyProtection="1">
      <alignment horizontal="left" vertical="center"/>
      <protection hidden="1"/>
    </xf>
    <xf numFmtId="0" fontId="5" fillId="0" borderId="25" xfId="0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right" vertical="center"/>
      <protection hidden="1"/>
    </xf>
    <xf numFmtId="0" fontId="5" fillId="0" borderId="17" xfId="0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vertical="center"/>
      <protection hidden="1"/>
    </xf>
    <xf numFmtId="0" fontId="5" fillId="0" borderId="14" xfId="0" applyFont="1" applyBorder="1" applyAlignment="1" applyProtection="1">
      <alignment horizontal="center" vertical="center"/>
      <protection hidden="1"/>
    </xf>
    <xf numFmtId="2" fontId="6" fillId="0" borderId="20" xfId="0" applyNumberFormat="1" applyFont="1" applyBorder="1" applyAlignment="1" applyProtection="1">
      <alignment horizontal="center" vertical="center"/>
      <protection hidden="1"/>
    </xf>
    <xf numFmtId="2" fontId="6" fillId="0" borderId="24" xfId="0" applyNumberFormat="1" applyFont="1" applyBorder="1" applyAlignment="1" applyProtection="1">
      <alignment horizontal="center" vertical="center"/>
      <protection hidden="1"/>
    </xf>
    <xf numFmtId="2" fontId="6" fillId="0" borderId="14" xfId="0" applyNumberFormat="1" applyFont="1" applyBorder="1" applyAlignment="1" applyProtection="1">
      <alignment horizontal="center" vertical="center"/>
      <protection hidden="1"/>
    </xf>
    <xf numFmtId="0" fontId="5" fillId="0" borderId="20" xfId="0" applyFont="1" applyBorder="1" applyAlignment="1" applyProtection="1">
      <alignment horizontal="right" vertical="center"/>
      <protection hidden="1"/>
    </xf>
    <xf numFmtId="0" fontId="5" fillId="0" borderId="14" xfId="0" applyFont="1" applyBorder="1" applyAlignment="1" applyProtection="1">
      <alignment horizontal="right" vertical="center"/>
      <protection hidden="1"/>
    </xf>
    <xf numFmtId="0" fontId="5" fillId="0" borderId="24" xfId="0" applyFont="1" applyBorder="1" applyAlignment="1" applyProtection="1">
      <alignment horizontal="right" vertical="center"/>
      <protection hidden="1"/>
    </xf>
    <xf numFmtId="0" fontId="5" fillId="0" borderId="1" xfId="0" applyFont="1" applyBorder="1" applyAlignment="1" applyProtection="1">
      <alignment horizontal="left" vertical="center"/>
      <protection hidden="1"/>
    </xf>
    <xf numFmtId="0" fontId="5" fillId="0" borderId="21" xfId="0" applyFont="1" applyBorder="1" applyAlignment="1" applyProtection="1">
      <alignment horizontal="right" vertical="center"/>
      <protection hidden="1"/>
    </xf>
    <xf numFmtId="0" fontId="5" fillId="0" borderId="15" xfId="0" applyFont="1" applyBorder="1" applyAlignment="1" applyProtection="1">
      <alignment horizontal="right" vertical="center"/>
      <protection hidden="1"/>
    </xf>
    <xf numFmtId="0" fontId="5" fillId="0" borderId="25" xfId="0" applyFont="1" applyBorder="1" applyAlignment="1" applyProtection="1">
      <alignment horizontal="right" vertical="center"/>
      <protection hidden="1"/>
    </xf>
    <xf numFmtId="0" fontId="6" fillId="0" borderId="20" xfId="0" applyFont="1" applyBorder="1" applyAlignment="1" applyProtection="1">
      <alignment horizontal="right" vertical="center"/>
      <protection hidden="1"/>
    </xf>
    <xf numFmtId="0" fontId="6" fillId="0" borderId="14" xfId="0" applyFont="1" applyBorder="1" applyAlignment="1" applyProtection="1">
      <alignment horizontal="right" vertical="center"/>
      <protection hidden="1"/>
    </xf>
    <xf numFmtId="0" fontId="6" fillId="0" borderId="24" xfId="0" applyFont="1" applyBorder="1" applyAlignment="1" applyProtection="1">
      <alignment horizontal="right" vertical="center"/>
      <protection hidden="1"/>
    </xf>
    <xf numFmtId="0" fontId="5" fillId="0" borderId="20" xfId="0" applyFont="1" applyBorder="1" applyAlignment="1" applyProtection="1">
      <alignment vertical="center"/>
      <protection hidden="1"/>
    </xf>
    <xf numFmtId="0" fontId="5" fillId="0" borderId="14" xfId="0" applyFont="1" applyBorder="1" applyAlignment="1" applyProtection="1">
      <alignment vertical="center"/>
      <protection hidden="1"/>
    </xf>
    <xf numFmtId="0" fontId="5" fillId="0" borderId="28" xfId="0" applyFont="1" applyBorder="1" applyAlignment="1" applyProtection="1">
      <alignment vertical="center"/>
      <protection hidden="1"/>
    </xf>
    <xf numFmtId="0" fontId="5" fillId="0" borderId="24" xfId="0" applyFont="1" applyBorder="1" applyAlignment="1" applyProtection="1">
      <alignment vertical="center"/>
      <protection hidden="1"/>
    </xf>
    <xf numFmtId="2" fontId="6" fillId="0" borderId="20" xfId="0" applyNumberFormat="1" applyFont="1" applyBorder="1" applyAlignment="1" applyProtection="1">
      <alignment horizontal="right" vertical="center"/>
      <protection hidden="1"/>
    </xf>
    <xf numFmtId="2" fontId="6" fillId="0" borderId="24" xfId="0" applyNumberFormat="1" applyFont="1" applyBorder="1" applyAlignment="1" applyProtection="1">
      <alignment horizontal="right" vertical="center"/>
      <protection hidden="1"/>
    </xf>
    <xf numFmtId="0" fontId="5" fillId="0" borderId="16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15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2" fontId="6" fillId="0" borderId="16" xfId="0" applyNumberFormat="1" applyFont="1" applyBorder="1" applyAlignment="1" applyProtection="1">
      <alignment horizontal="center" vertical="center"/>
      <protection hidden="1"/>
    </xf>
    <xf numFmtId="2" fontId="6" fillId="0" borderId="2" xfId="0" applyNumberFormat="1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vertical="center"/>
      <protection hidden="1"/>
    </xf>
    <xf numFmtId="2" fontId="6" fillId="0" borderId="20" xfId="0" applyNumberFormat="1" applyFont="1" applyBorder="1" applyAlignment="1" applyProtection="1">
      <alignment horizontal="center" vertical="center" wrapText="1"/>
      <protection hidden="1"/>
    </xf>
    <xf numFmtId="2" fontId="6" fillId="0" borderId="24" xfId="0" applyNumberFormat="1" applyFont="1" applyBorder="1" applyAlignment="1" applyProtection="1">
      <alignment horizontal="center" vertical="center" wrapText="1"/>
      <protection hidden="1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" xfId="0" applyFont="1" applyBorder="1" applyAlignment="1" applyProtection="1">
      <alignment horizontal="right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horizontal="center" vertical="center"/>
      <protection hidden="1"/>
    </xf>
    <xf numFmtId="0" fontId="5" fillId="0" borderId="17" xfId="0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20" xfId="0" applyFont="1" applyBorder="1" applyAlignment="1" applyProtection="1">
      <alignment horizontal="center" vertical="center" wrapText="1"/>
      <protection hidden="1"/>
    </xf>
    <xf numFmtId="0" fontId="5" fillId="0" borderId="24" xfId="0" applyFont="1" applyBorder="1" applyAlignment="1" applyProtection="1">
      <alignment horizontal="center" vertical="center" wrapText="1"/>
      <protection hidden="1"/>
    </xf>
    <xf numFmtId="2" fontId="1" fillId="0" borderId="12" xfId="0" applyNumberFormat="1" applyFont="1" applyBorder="1" applyAlignment="1" applyProtection="1">
      <alignment horizontal="center" vertical="center"/>
      <protection hidden="1"/>
    </xf>
    <xf numFmtId="2" fontId="6" fillId="0" borderId="1" xfId="0" applyNumberFormat="1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6" fillId="0" borderId="14" xfId="0" applyFont="1" applyBorder="1" applyAlignment="1" applyProtection="1">
      <alignment horizontal="center" vertical="center"/>
      <protection hidden="1"/>
    </xf>
    <xf numFmtId="0" fontId="6" fillId="0" borderId="24" xfId="0" applyFont="1" applyBorder="1" applyAlignment="1" applyProtection="1">
      <alignment horizontal="center" vertical="center"/>
      <protection hidden="1"/>
    </xf>
  </cellXfs>
  <cellStyles count="2">
    <cellStyle name="Normal" xfId="0" builtinId="0"/>
    <cellStyle name="Normal 2" xfId="1"/>
  </cellStyles>
  <dxfs count="18"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protection locked="0" hidden="0"/>
    </dxf>
    <dxf>
      <border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alignment horizontal="general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right style="thin">
          <color indexed="64"/>
        </right>
        <top/>
        <bottom/>
      </border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condense val="0"/>
        <extend val="0"/>
        <color indexed="9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ables/table1.xml><?xml version="1.0" encoding="utf-8"?>
<table xmlns="http://schemas.openxmlformats.org/spreadsheetml/2006/main" id="1" name="Table1" displayName="Table1" ref="B3:B49" totalsRowShown="0" headerRowDxfId="11" dataDxfId="9" headerRowBorderDxfId="10" tableBorderDxfId="8" totalsRowBorderDxfId="7">
  <tableColumns count="1">
    <tableColumn id="1" name="कार्यालय में पोस्ट विवरण" dataDxfId="6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D3:D27" totalsRowShown="0" headerRowDxfId="5" dataDxfId="3" headerRowBorderDxfId="4" tableBorderDxfId="2" totalsRowBorderDxfId="1">
  <tableColumns count="1">
    <tableColumn id="1" name="Pay - Leve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68"/>
  <sheetViews>
    <sheetView workbookViewId="0">
      <selection sqref="A1:XFD1048576"/>
    </sheetView>
  </sheetViews>
  <sheetFormatPr defaultRowHeight="15" x14ac:dyDescent="0.25"/>
  <cols>
    <col min="1" max="1" width="5.42578125" style="72" customWidth="1"/>
    <col min="2" max="2" width="35.5703125" bestFit="1" customWidth="1"/>
  </cols>
  <sheetData>
    <row r="1" spans="1:7" ht="36" customHeight="1" x14ac:dyDescent="0.25">
      <c r="A1" s="82" t="s">
        <v>302</v>
      </c>
      <c r="B1" s="82"/>
      <c r="C1" s="82"/>
      <c r="D1" s="82"/>
      <c r="E1" s="82"/>
      <c r="F1" s="82"/>
      <c r="G1" s="82"/>
    </row>
    <row r="3" spans="1:7" ht="21" x14ac:dyDescent="0.35">
      <c r="A3" s="81" t="s">
        <v>303</v>
      </c>
      <c r="B3" s="81"/>
      <c r="C3" s="81"/>
      <c r="D3" s="81"/>
      <c r="E3" s="81"/>
      <c r="F3" s="81"/>
      <c r="G3" s="81"/>
    </row>
    <row r="4" spans="1:7" ht="20.100000000000001" customHeight="1" x14ac:dyDescent="0.25">
      <c r="A4" s="74">
        <v>1</v>
      </c>
      <c r="B4" s="75" t="s">
        <v>0</v>
      </c>
      <c r="C4" s="84" t="s">
        <v>304</v>
      </c>
      <c r="D4" s="84"/>
      <c r="E4" s="84"/>
      <c r="F4" s="84"/>
      <c r="G4" s="84"/>
    </row>
    <row r="5" spans="1:7" ht="20.100000000000001" customHeight="1" x14ac:dyDescent="0.25">
      <c r="A5" s="74">
        <v>2</v>
      </c>
      <c r="B5" s="75" t="s">
        <v>2</v>
      </c>
      <c r="C5" s="84" t="s">
        <v>305</v>
      </c>
      <c r="D5" s="84"/>
      <c r="E5" s="84"/>
      <c r="F5" s="84"/>
      <c r="G5" s="84"/>
    </row>
    <row r="6" spans="1:7" ht="20.100000000000001" customHeight="1" x14ac:dyDescent="0.25">
      <c r="A6" s="74">
        <v>3</v>
      </c>
      <c r="B6" s="75" t="s">
        <v>4</v>
      </c>
      <c r="C6" s="84" t="s">
        <v>306</v>
      </c>
      <c r="D6" s="84"/>
      <c r="E6" s="84"/>
      <c r="F6" s="84"/>
      <c r="G6" s="84"/>
    </row>
    <row r="7" spans="1:7" ht="35.1" customHeight="1" x14ac:dyDescent="0.25">
      <c r="A7" s="74">
        <v>4</v>
      </c>
      <c r="B7" s="75" t="s">
        <v>5</v>
      </c>
      <c r="C7" s="83" t="s">
        <v>307</v>
      </c>
      <c r="D7" s="83"/>
      <c r="E7" s="83"/>
      <c r="F7" s="83"/>
      <c r="G7" s="83"/>
    </row>
    <row r="8" spans="1:7" ht="35.1" customHeight="1" x14ac:dyDescent="0.25">
      <c r="A8" s="74">
        <v>5</v>
      </c>
      <c r="B8" s="75" t="s">
        <v>6</v>
      </c>
      <c r="C8" s="83" t="s">
        <v>308</v>
      </c>
      <c r="D8" s="83"/>
      <c r="E8" s="83"/>
      <c r="F8" s="83"/>
      <c r="G8" s="83"/>
    </row>
    <row r="9" spans="1:7" ht="20.100000000000001" customHeight="1" x14ac:dyDescent="0.25">
      <c r="A9" s="74">
        <v>6</v>
      </c>
      <c r="B9" s="75" t="s">
        <v>7</v>
      </c>
      <c r="C9" s="83" t="s">
        <v>309</v>
      </c>
      <c r="D9" s="83"/>
      <c r="E9" s="83"/>
      <c r="F9" s="83"/>
      <c r="G9" s="83"/>
    </row>
    <row r="10" spans="1:7" ht="20.100000000000001" customHeight="1" x14ac:dyDescent="0.25">
      <c r="A10" s="74">
        <v>7</v>
      </c>
      <c r="B10" s="75" t="s">
        <v>9</v>
      </c>
      <c r="C10" s="83" t="s">
        <v>310</v>
      </c>
      <c r="D10" s="83"/>
      <c r="E10" s="83"/>
      <c r="F10" s="83"/>
      <c r="G10" s="83"/>
    </row>
    <row r="11" spans="1:7" ht="20.100000000000001" customHeight="1" x14ac:dyDescent="0.25">
      <c r="A11" s="74">
        <v>8</v>
      </c>
      <c r="B11" s="75" t="s">
        <v>11</v>
      </c>
      <c r="C11" s="83" t="s">
        <v>311</v>
      </c>
      <c r="D11" s="83"/>
      <c r="E11" s="83"/>
      <c r="F11" s="83"/>
      <c r="G11" s="83"/>
    </row>
    <row r="12" spans="1:7" ht="20.100000000000001" customHeight="1" x14ac:dyDescent="0.25">
      <c r="A12" s="74">
        <v>9</v>
      </c>
      <c r="B12" s="75" t="s">
        <v>12</v>
      </c>
      <c r="C12" s="83" t="s">
        <v>312</v>
      </c>
      <c r="D12" s="83"/>
      <c r="E12" s="83"/>
      <c r="F12" s="83"/>
      <c r="G12" s="83"/>
    </row>
    <row r="13" spans="1:7" ht="20.100000000000001" customHeight="1" x14ac:dyDescent="0.25">
      <c r="A13" s="74">
        <v>10</v>
      </c>
      <c r="B13" s="75" t="s">
        <v>14</v>
      </c>
      <c r="C13" s="83" t="s">
        <v>313</v>
      </c>
      <c r="D13" s="83"/>
      <c r="E13" s="83"/>
      <c r="F13" s="83"/>
      <c r="G13" s="83"/>
    </row>
    <row r="14" spans="1:7" ht="20.100000000000001" customHeight="1" x14ac:dyDescent="0.25">
      <c r="A14" s="74">
        <v>11</v>
      </c>
      <c r="B14" s="75" t="s">
        <v>16</v>
      </c>
      <c r="C14" s="83" t="s">
        <v>314</v>
      </c>
      <c r="D14" s="83"/>
      <c r="E14" s="83"/>
      <c r="F14" s="83"/>
      <c r="G14" s="83"/>
    </row>
    <row r="15" spans="1:7" ht="20.100000000000001" customHeight="1" x14ac:dyDescent="0.25">
      <c r="A15" s="74">
        <v>12</v>
      </c>
      <c r="B15" s="75" t="s">
        <v>17</v>
      </c>
      <c r="C15" s="83" t="s">
        <v>315</v>
      </c>
      <c r="D15" s="83"/>
      <c r="E15" s="83"/>
      <c r="F15" s="83"/>
      <c r="G15" s="83"/>
    </row>
    <row r="16" spans="1:7" ht="35.1" customHeight="1" x14ac:dyDescent="0.25">
      <c r="A16" s="74">
        <v>13</v>
      </c>
      <c r="B16" s="75" t="s">
        <v>18</v>
      </c>
      <c r="C16" s="83" t="s">
        <v>316</v>
      </c>
      <c r="D16" s="83"/>
      <c r="E16" s="83"/>
      <c r="F16" s="83"/>
      <c r="G16" s="83"/>
    </row>
    <row r="17" spans="1:7" ht="20.100000000000001" customHeight="1" x14ac:dyDescent="0.25">
      <c r="A17" s="74">
        <v>14</v>
      </c>
      <c r="B17" s="75" t="s">
        <v>19</v>
      </c>
      <c r="C17" s="83" t="s">
        <v>317</v>
      </c>
      <c r="D17" s="83"/>
      <c r="E17" s="83"/>
      <c r="F17" s="83"/>
      <c r="G17" s="83"/>
    </row>
    <row r="18" spans="1:7" ht="20.100000000000001" customHeight="1" x14ac:dyDescent="0.25">
      <c r="A18" s="74">
        <v>15</v>
      </c>
      <c r="B18" s="75" t="s">
        <v>131</v>
      </c>
      <c r="C18" s="83" t="s">
        <v>318</v>
      </c>
      <c r="D18" s="83"/>
      <c r="E18" s="83"/>
      <c r="F18" s="83"/>
      <c r="G18" s="83"/>
    </row>
    <row r="19" spans="1:7" ht="20.100000000000001" customHeight="1" x14ac:dyDescent="0.25">
      <c r="A19" s="74">
        <v>16</v>
      </c>
      <c r="B19" s="75" t="s">
        <v>20</v>
      </c>
      <c r="C19" s="83" t="s">
        <v>319</v>
      </c>
      <c r="D19" s="83"/>
      <c r="E19" s="83"/>
      <c r="F19" s="83"/>
      <c r="G19" s="83"/>
    </row>
    <row r="20" spans="1:7" ht="20.100000000000001" customHeight="1" x14ac:dyDescent="0.25">
      <c r="A20" s="74">
        <v>17</v>
      </c>
      <c r="B20" s="75" t="s">
        <v>132</v>
      </c>
      <c r="C20" s="83" t="s">
        <v>320</v>
      </c>
      <c r="D20" s="83"/>
      <c r="E20" s="83"/>
      <c r="F20" s="83"/>
      <c r="G20" s="83"/>
    </row>
    <row r="21" spans="1:7" ht="35.1" customHeight="1" x14ac:dyDescent="0.25">
      <c r="A21" s="74">
        <v>18</v>
      </c>
      <c r="B21" s="75" t="s">
        <v>151</v>
      </c>
      <c r="C21" s="83" t="s">
        <v>321</v>
      </c>
      <c r="D21" s="83"/>
      <c r="E21" s="83"/>
      <c r="F21" s="83"/>
      <c r="G21" s="83"/>
    </row>
    <row r="22" spans="1:7" ht="35.1" customHeight="1" x14ac:dyDescent="0.25">
      <c r="A22" s="74">
        <v>19</v>
      </c>
      <c r="B22" s="75" t="s">
        <v>24</v>
      </c>
      <c r="C22" s="83" t="s">
        <v>322</v>
      </c>
      <c r="D22" s="83"/>
      <c r="E22" s="83"/>
      <c r="F22" s="83"/>
      <c r="G22" s="83"/>
    </row>
    <row r="23" spans="1:7" ht="35.1" customHeight="1" x14ac:dyDescent="0.25">
      <c r="A23" s="74">
        <v>20</v>
      </c>
      <c r="B23" s="75" t="s">
        <v>25</v>
      </c>
      <c r="C23" s="83" t="s">
        <v>323</v>
      </c>
      <c r="D23" s="83"/>
      <c r="E23" s="83"/>
      <c r="F23" s="83"/>
      <c r="G23" s="83"/>
    </row>
    <row r="24" spans="1:7" ht="50.1" customHeight="1" x14ac:dyDescent="0.25">
      <c r="A24" s="74">
        <v>21</v>
      </c>
      <c r="B24" s="75" t="s">
        <v>26</v>
      </c>
      <c r="C24" s="83" t="s">
        <v>324</v>
      </c>
      <c r="D24" s="83"/>
      <c r="E24" s="83"/>
      <c r="F24" s="83"/>
      <c r="G24" s="83"/>
    </row>
    <row r="25" spans="1:7" ht="50.1" customHeight="1" x14ac:dyDescent="0.25">
      <c r="A25" s="74">
        <v>22</v>
      </c>
      <c r="B25" s="75" t="s">
        <v>299</v>
      </c>
      <c r="C25" s="83" t="s">
        <v>325</v>
      </c>
      <c r="D25" s="83"/>
      <c r="E25" s="83"/>
      <c r="F25" s="83"/>
      <c r="G25" s="83"/>
    </row>
    <row r="26" spans="1:7" ht="35.1" customHeight="1" x14ac:dyDescent="0.25">
      <c r="A26" s="74">
        <v>23</v>
      </c>
      <c r="B26" s="75" t="s">
        <v>135</v>
      </c>
      <c r="C26" s="83" t="s">
        <v>326</v>
      </c>
      <c r="D26" s="83"/>
      <c r="E26" s="83"/>
      <c r="F26" s="83"/>
      <c r="G26" s="83"/>
    </row>
    <row r="27" spans="1:7" ht="50.1" customHeight="1" x14ac:dyDescent="0.25">
      <c r="A27" s="74">
        <v>24</v>
      </c>
      <c r="B27" s="75" t="s">
        <v>27</v>
      </c>
      <c r="C27" s="83" t="s">
        <v>327</v>
      </c>
      <c r="D27" s="83"/>
      <c r="E27" s="83"/>
      <c r="F27" s="83"/>
      <c r="G27" s="83"/>
    </row>
    <row r="28" spans="1:7" ht="50.1" customHeight="1" x14ac:dyDescent="0.25">
      <c r="A28" s="74">
        <v>25</v>
      </c>
      <c r="B28" s="75" t="s">
        <v>300</v>
      </c>
      <c r="C28" s="83" t="s">
        <v>328</v>
      </c>
      <c r="D28" s="83"/>
      <c r="E28" s="83"/>
      <c r="F28" s="83"/>
      <c r="G28" s="83"/>
    </row>
    <row r="29" spans="1:7" ht="50.1" customHeight="1" x14ac:dyDescent="0.25">
      <c r="A29" s="74">
        <v>26</v>
      </c>
      <c r="B29" s="75" t="s">
        <v>136</v>
      </c>
      <c r="C29" s="83" t="s">
        <v>329</v>
      </c>
      <c r="D29" s="83"/>
      <c r="E29" s="83"/>
      <c r="F29" s="83"/>
      <c r="G29" s="83"/>
    </row>
    <row r="30" spans="1:7" ht="50.1" customHeight="1" x14ac:dyDescent="0.25">
      <c r="A30" s="74">
        <v>27</v>
      </c>
      <c r="B30" s="75" t="s">
        <v>28</v>
      </c>
      <c r="C30" s="83" t="s">
        <v>330</v>
      </c>
      <c r="D30" s="83"/>
      <c r="E30" s="83"/>
      <c r="F30" s="83"/>
      <c r="G30" s="83"/>
    </row>
    <row r="32" spans="1:7" ht="21" x14ac:dyDescent="0.35">
      <c r="A32" s="81" t="s">
        <v>332</v>
      </c>
      <c r="B32" s="81"/>
      <c r="C32" s="81"/>
      <c r="D32" s="81"/>
      <c r="E32" s="81"/>
      <c r="F32" s="81"/>
      <c r="G32" s="81"/>
    </row>
    <row r="33" spans="1:7" ht="20.100000000000001" customHeight="1" x14ac:dyDescent="0.25">
      <c r="A33" s="76">
        <v>1</v>
      </c>
      <c r="B33" s="80" t="s">
        <v>331</v>
      </c>
      <c r="C33" s="80"/>
      <c r="D33" s="80"/>
      <c r="E33" s="80"/>
      <c r="F33" s="80"/>
      <c r="G33" s="80"/>
    </row>
    <row r="34" spans="1:7" ht="20.100000000000001" customHeight="1" x14ac:dyDescent="0.25">
      <c r="A34" s="76">
        <v>2</v>
      </c>
      <c r="B34" s="80" t="s">
        <v>264</v>
      </c>
      <c r="C34" s="80"/>
      <c r="D34" s="80"/>
      <c r="E34" s="80"/>
      <c r="F34" s="80"/>
      <c r="G34" s="80"/>
    </row>
    <row r="35" spans="1:7" ht="20.100000000000001" customHeight="1" x14ac:dyDescent="0.25">
      <c r="A35" s="76">
        <v>3</v>
      </c>
      <c r="B35" s="80" t="s">
        <v>265</v>
      </c>
      <c r="C35" s="80"/>
      <c r="D35" s="80"/>
      <c r="E35" s="80"/>
      <c r="F35" s="80"/>
      <c r="G35" s="80"/>
    </row>
    <row r="36" spans="1:7" ht="20.100000000000001" customHeight="1" x14ac:dyDescent="0.25">
      <c r="A36" s="76">
        <v>4</v>
      </c>
      <c r="B36" s="80" t="s">
        <v>266</v>
      </c>
      <c r="C36" s="80"/>
      <c r="D36" s="80"/>
      <c r="E36" s="80"/>
      <c r="F36" s="80"/>
      <c r="G36" s="80"/>
    </row>
    <row r="37" spans="1:7" ht="20.100000000000001" customHeight="1" x14ac:dyDescent="0.25">
      <c r="A37" s="76">
        <v>5</v>
      </c>
      <c r="B37" s="80" t="s">
        <v>267</v>
      </c>
      <c r="C37" s="80"/>
      <c r="D37" s="80"/>
      <c r="E37" s="80"/>
      <c r="F37" s="80"/>
      <c r="G37" s="80"/>
    </row>
    <row r="38" spans="1:7" ht="20.100000000000001" customHeight="1" x14ac:dyDescent="0.25">
      <c r="A38" s="76">
        <v>6</v>
      </c>
      <c r="B38" s="80" t="s">
        <v>268</v>
      </c>
      <c r="C38" s="80"/>
      <c r="D38" s="80"/>
      <c r="E38" s="80"/>
      <c r="F38" s="80"/>
      <c r="G38" s="80"/>
    </row>
    <row r="39" spans="1:7" ht="20.100000000000001" customHeight="1" x14ac:dyDescent="0.25">
      <c r="A39" s="76">
        <v>7</v>
      </c>
      <c r="B39" s="80" t="s">
        <v>269</v>
      </c>
      <c r="C39" s="80"/>
      <c r="D39" s="80"/>
      <c r="E39" s="80"/>
      <c r="F39" s="80"/>
      <c r="G39" s="80"/>
    </row>
    <row r="40" spans="1:7" ht="20.100000000000001" customHeight="1" x14ac:dyDescent="0.25">
      <c r="A40" s="76">
        <v>8</v>
      </c>
      <c r="B40" s="80" t="s">
        <v>270</v>
      </c>
      <c r="C40" s="80"/>
      <c r="D40" s="80"/>
      <c r="E40" s="80"/>
      <c r="F40" s="80"/>
      <c r="G40" s="80"/>
    </row>
    <row r="41" spans="1:7" ht="20.100000000000001" customHeight="1" x14ac:dyDescent="0.25">
      <c r="A41" s="76">
        <v>9</v>
      </c>
      <c r="B41" s="80" t="s">
        <v>271</v>
      </c>
      <c r="C41" s="80"/>
      <c r="D41" s="80"/>
      <c r="E41" s="80"/>
      <c r="F41" s="80"/>
      <c r="G41" s="80"/>
    </row>
    <row r="42" spans="1:7" ht="20.100000000000001" customHeight="1" x14ac:dyDescent="0.25">
      <c r="A42" s="76">
        <v>10</v>
      </c>
      <c r="B42" s="80" t="s">
        <v>272</v>
      </c>
      <c r="C42" s="80"/>
      <c r="D42" s="80"/>
      <c r="E42" s="80"/>
      <c r="F42" s="80"/>
      <c r="G42" s="80"/>
    </row>
    <row r="43" spans="1:7" ht="20.100000000000001" customHeight="1" x14ac:dyDescent="0.25">
      <c r="A43" s="76">
        <v>11</v>
      </c>
      <c r="B43" s="80" t="s">
        <v>273</v>
      </c>
      <c r="C43" s="80"/>
      <c r="D43" s="80"/>
      <c r="E43" s="80"/>
      <c r="F43" s="80"/>
      <c r="G43" s="80"/>
    </row>
    <row r="44" spans="1:7" ht="20.100000000000001" customHeight="1" x14ac:dyDescent="0.25">
      <c r="A44" s="76">
        <v>12</v>
      </c>
      <c r="B44" s="80" t="s">
        <v>274</v>
      </c>
      <c r="C44" s="80"/>
      <c r="D44" s="80"/>
      <c r="E44" s="80"/>
      <c r="F44" s="80"/>
      <c r="G44" s="80"/>
    </row>
    <row r="45" spans="1:7" ht="20.100000000000001" customHeight="1" x14ac:dyDescent="0.25">
      <c r="A45" s="76">
        <v>13</v>
      </c>
      <c r="B45" s="80" t="s">
        <v>275</v>
      </c>
      <c r="C45" s="80"/>
      <c r="D45" s="80"/>
      <c r="E45" s="80"/>
      <c r="F45" s="80"/>
      <c r="G45" s="80"/>
    </row>
    <row r="46" spans="1:7" ht="20.100000000000001" customHeight="1" x14ac:dyDescent="0.25">
      <c r="A46" s="76">
        <v>14</v>
      </c>
      <c r="B46" s="80" t="s">
        <v>276</v>
      </c>
      <c r="C46" s="80"/>
      <c r="D46" s="80"/>
      <c r="E46" s="80"/>
      <c r="F46" s="80"/>
      <c r="G46" s="80"/>
    </row>
    <row r="47" spans="1:7" ht="20.100000000000001" customHeight="1" x14ac:dyDescent="0.25">
      <c r="A47" s="76">
        <v>15</v>
      </c>
      <c r="B47" s="80" t="s">
        <v>277</v>
      </c>
      <c r="C47" s="80"/>
      <c r="D47" s="80"/>
      <c r="E47" s="80"/>
      <c r="F47" s="80"/>
      <c r="G47" s="80"/>
    </row>
    <row r="48" spans="1:7" ht="20.100000000000001" customHeight="1" x14ac:dyDescent="0.25">
      <c r="A48" s="76">
        <v>16</v>
      </c>
      <c r="B48" s="80" t="s">
        <v>184</v>
      </c>
      <c r="C48" s="80"/>
      <c r="D48" s="80"/>
      <c r="E48" s="80"/>
      <c r="F48" s="80"/>
      <c r="G48" s="80"/>
    </row>
    <row r="49" spans="1:7" ht="20.100000000000001" customHeight="1" x14ac:dyDescent="0.25">
      <c r="A49" s="76">
        <v>17</v>
      </c>
      <c r="B49" s="80" t="s">
        <v>278</v>
      </c>
      <c r="C49" s="80"/>
      <c r="D49" s="80"/>
      <c r="E49" s="80"/>
      <c r="F49" s="80"/>
      <c r="G49" s="80"/>
    </row>
    <row r="50" spans="1:7" ht="20.100000000000001" customHeight="1" x14ac:dyDescent="0.25">
      <c r="A50" s="76">
        <v>18</v>
      </c>
      <c r="B50" s="80" t="s">
        <v>188</v>
      </c>
      <c r="C50" s="80"/>
      <c r="D50" s="80"/>
      <c r="E50" s="80"/>
      <c r="F50" s="80"/>
      <c r="G50" s="80"/>
    </row>
    <row r="51" spans="1:7" ht="20.100000000000001" customHeight="1" x14ac:dyDescent="0.25">
      <c r="A51" s="76">
        <v>19</v>
      </c>
      <c r="B51" s="80" t="s">
        <v>279</v>
      </c>
      <c r="C51" s="80"/>
      <c r="D51" s="80"/>
      <c r="E51" s="80"/>
      <c r="F51" s="80"/>
      <c r="G51" s="80"/>
    </row>
    <row r="52" spans="1:7" ht="20.100000000000001" customHeight="1" x14ac:dyDescent="0.25">
      <c r="A52" s="76">
        <v>20</v>
      </c>
      <c r="B52" s="80" t="s">
        <v>280</v>
      </c>
      <c r="C52" s="80"/>
      <c r="D52" s="80"/>
      <c r="E52" s="80"/>
      <c r="F52" s="80"/>
      <c r="G52" s="80"/>
    </row>
    <row r="53" spans="1:7" ht="20.100000000000001" customHeight="1" x14ac:dyDescent="0.25">
      <c r="A53" s="76">
        <v>21</v>
      </c>
      <c r="B53" s="80" t="s">
        <v>281</v>
      </c>
      <c r="C53" s="80"/>
      <c r="D53" s="80"/>
      <c r="E53" s="80"/>
      <c r="F53" s="80"/>
      <c r="G53" s="80"/>
    </row>
    <row r="54" spans="1:7" ht="20.100000000000001" customHeight="1" x14ac:dyDescent="0.25">
      <c r="A54" s="76">
        <v>22</v>
      </c>
      <c r="B54" s="80" t="s">
        <v>282</v>
      </c>
      <c r="C54" s="80"/>
      <c r="D54" s="80"/>
      <c r="E54" s="80"/>
      <c r="F54" s="80"/>
      <c r="G54" s="80"/>
    </row>
    <row r="55" spans="1:7" ht="20.100000000000001" customHeight="1" x14ac:dyDescent="0.25">
      <c r="A55" s="76">
        <v>23</v>
      </c>
      <c r="B55" s="80" t="s">
        <v>283</v>
      </c>
      <c r="C55" s="80"/>
      <c r="D55" s="80"/>
      <c r="E55" s="80"/>
      <c r="F55" s="80"/>
      <c r="G55" s="80"/>
    </row>
    <row r="56" spans="1:7" ht="20.100000000000001" customHeight="1" x14ac:dyDescent="0.25">
      <c r="A56" s="76">
        <v>24</v>
      </c>
      <c r="B56" s="80" t="s">
        <v>284</v>
      </c>
      <c r="C56" s="80"/>
      <c r="D56" s="80"/>
      <c r="E56" s="80"/>
      <c r="F56" s="80"/>
      <c r="G56" s="80"/>
    </row>
    <row r="57" spans="1:7" ht="20.100000000000001" customHeight="1" x14ac:dyDescent="0.25">
      <c r="A57" s="76">
        <v>25</v>
      </c>
      <c r="B57" s="80" t="s">
        <v>285</v>
      </c>
      <c r="C57" s="80"/>
      <c r="D57" s="80"/>
      <c r="E57" s="80"/>
      <c r="F57" s="80"/>
      <c r="G57" s="80"/>
    </row>
    <row r="58" spans="1:7" ht="20.100000000000001" customHeight="1" x14ac:dyDescent="0.25">
      <c r="A58" s="76">
        <v>26</v>
      </c>
      <c r="B58" s="80" t="s">
        <v>286</v>
      </c>
      <c r="C58" s="80"/>
      <c r="D58" s="80"/>
      <c r="E58" s="80"/>
      <c r="F58" s="80"/>
      <c r="G58" s="80"/>
    </row>
    <row r="59" spans="1:7" ht="20.100000000000001" customHeight="1" x14ac:dyDescent="0.25">
      <c r="A59" s="76">
        <v>27</v>
      </c>
      <c r="B59" s="80" t="s">
        <v>287</v>
      </c>
      <c r="C59" s="80"/>
      <c r="D59" s="80"/>
      <c r="E59" s="80"/>
      <c r="F59" s="80"/>
      <c r="G59" s="80"/>
    </row>
    <row r="60" spans="1:7" ht="31.5" customHeight="1" x14ac:dyDescent="0.25">
      <c r="A60" s="76">
        <v>28</v>
      </c>
      <c r="B60" s="80" t="s">
        <v>288</v>
      </c>
      <c r="C60" s="80"/>
      <c r="D60" s="80"/>
      <c r="E60" s="80"/>
      <c r="F60" s="80"/>
      <c r="G60" s="80"/>
    </row>
    <row r="61" spans="1:7" ht="20.100000000000001" customHeight="1" x14ac:dyDescent="0.25">
      <c r="A61" s="76">
        <v>29</v>
      </c>
      <c r="B61" s="80" t="s">
        <v>289</v>
      </c>
      <c r="C61" s="80"/>
      <c r="D61" s="80"/>
      <c r="E61" s="80"/>
      <c r="F61" s="80"/>
      <c r="G61" s="80"/>
    </row>
    <row r="62" spans="1:7" ht="20.100000000000001" customHeight="1" x14ac:dyDescent="0.25">
      <c r="A62" s="76">
        <v>30</v>
      </c>
      <c r="B62" s="80" t="s">
        <v>290</v>
      </c>
      <c r="C62" s="80"/>
      <c r="D62" s="80"/>
      <c r="E62" s="80"/>
      <c r="F62" s="80"/>
      <c r="G62" s="80"/>
    </row>
    <row r="63" spans="1:7" ht="20.100000000000001" customHeight="1" x14ac:dyDescent="0.25">
      <c r="A63" s="76">
        <v>31</v>
      </c>
      <c r="B63" s="80" t="s">
        <v>291</v>
      </c>
      <c r="C63" s="80"/>
      <c r="D63" s="80"/>
      <c r="E63" s="80"/>
      <c r="F63" s="80"/>
      <c r="G63" s="80"/>
    </row>
    <row r="64" spans="1:7" ht="20.100000000000001" customHeight="1" x14ac:dyDescent="0.25">
      <c r="A64" s="76">
        <v>32</v>
      </c>
      <c r="B64" s="80" t="s">
        <v>292</v>
      </c>
      <c r="C64" s="80"/>
      <c r="D64" s="80"/>
      <c r="E64" s="80"/>
      <c r="F64" s="80"/>
      <c r="G64" s="80"/>
    </row>
    <row r="65" spans="1:7" ht="20.100000000000001" customHeight="1" x14ac:dyDescent="0.25">
      <c r="A65" s="76">
        <v>33</v>
      </c>
      <c r="B65" s="80" t="s">
        <v>293</v>
      </c>
      <c r="C65" s="80"/>
      <c r="D65" s="80"/>
      <c r="E65" s="80"/>
      <c r="F65" s="80"/>
      <c r="G65" s="80"/>
    </row>
    <row r="66" spans="1:7" ht="20.100000000000001" customHeight="1" x14ac:dyDescent="0.25">
      <c r="A66" s="76">
        <v>34</v>
      </c>
      <c r="B66" s="80" t="s">
        <v>294</v>
      </c>
      <c r="C66" s="80"/>
      <c r="D66" s="80"/>
      <c r="E66" s="80"/>
      <c r="F66" s="80"/>
      <c r="G66" s="80"/>
    </row>
    <row r="67" spans="1:7" ht="20.100000000000001" customHeight="1" x14ac:dyDescent="0.25">
      <c r="A67" s="76">
        <v>35</v>
      </c>
      <c r="B67" s="80" t="s">
        <v>295</v>
      </c>
      <c r="C67" s="80"/>
      <c r="D67" s="80"/>
      <c r="E67" s="80"/>
      <c r="F67" s="80"/>
      <c r="G67" s="80"/>
    </row>
    <row r="68" spans="1:7" ht="20.100000000000001" customHeight="1" x14ac:dyDescent="0.25">
      <c r="A68" s="76">
        <v>36</v>
      </c>
      <c r="B68" s="80" t="s">
        <v>296</v>
      </c>
      <c r="C68" s="80"/>
      <c r="D68" s="80"/>
      <c r="E68" s="80"/>
      <c r="F68" s="80"/>
      <c r="G68" s="80"/>
    </row>
  </sheetData>
  <sheetProtection password="CE26" sheet="1" objects="1" scenarios="1" selectLockedCells="1" selectUnlockedCells="1"/>
  <mergeCells count="66">
    <mergeCell ref="C30:G30"/>
    <mergeCell ref="C24:G24"/>
    <mergeCell ref="C26:G26"/>
    <mergeCell ref="C27:G27"/>
    <mergeCell ref="C28:G28"/>
    <mergeCell ref="C29:G29"/>
    <mergeCell ref="C19:G19"/>
    <mergeCell ref="C20:G20"/>
    <mergeCell ref="C21:G21"/>
    <mergeCell ref="C22:G22"/>
    <mergeCell ref="C23:G23"/>
    <mergeCell ref="C14:G14"/>
    <mergeCell ref="C15:G15"/>
    <mergeCell ref="C16:G16"/>
    <mergeCell ref="C17:G17"/>
    <mergeCell ref="C18:G18"/>
    <mergeCell ref="A1:G1"/>
    <mergeCell ref="A3:G3"/>
    <mergeCell ref="B33:G33"/>
    <mergeCell ref="B34:G34"/>
    <mergeCell ref="B35:G35"/>
    <mergeCell ref="C13:G13"/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25:G25"/>
    <mergeCell ref="B36:G36"/>
    <mergeCell ref="B37:G37"/>
    <mergeCell ref="B38:G38"/>
    <mergeCell ref="B39:G39"/>
    <mergeCell ref="B40:G40"/>
    <mergeCell ref="B41:G41"/>
    <mergeCell ref="B42:G42"/>
    <mergeCell ref="B43:G43"/>
    <mergeCell ref="B44:G44"/>
    <mergeCell ref="B45:G45"/>
    <mergeCell ref="B53:G53"/>
    <mergeCell ref="B54:G54"/>
    <mergeCell ref="B55:G55"/>
    <mergeCell ref="B46:G46"/>
    <mergeCell ref="B47:G47"/>
    <mergeCell ref="B48:G48"/>
    <mergeCell ref="B49:G49"/>
    <mergeCell ref="B50:G50"/>
    <mergeCell ref="B66:G66"/>
    <mergeCell ref="B67:G67"/>
    <mergeCell ref="B68:G68"/>
    <mergeCell ref="A32:G32"/>
    <mergeCell ref="B61:G61"/>
    <mergeCell ref="B62:G62"/>
    <mergeCell ref="B63:G63"/>
    <mergeCell ref="B64:G64"/>
    <mergeCell ref="B65:G65"/>
    <mergeCell ref="B56:G56"/>
    <mergeCell ref="B57:G57"/>
    <mergeCell ref="B58:G58"/>
    <mergeCell ref="B59:G59"/>
    <mergeCell ref="B60:G60"/>
    <mergeCell ref="B51:G51"/>
    <mergeCell ref="B52:G52"/>
  </mergeCells>
  <pageMargins left="0.39370078740157483" right="0.39370078740157483" top="0.39370078740157483" bottom="0.39370078740157483" header="0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51"/>
  <sheetViews>
    <sheetView tabSelected="1" zoomScale="115" zoomScaleNormal="115" zoomScaleSheetLayoutView="100" workbookViewId="0">
      <selection activeCell="F8" sqref="F8"/>
    </sheetView>
  </sheetViews>
  <sheetFormatPr defaultRowHeight="15" x14ac:dyDescent="0.25"/>
  <cols>
    <col min="1" max="1" width="22.7109375" style="1" customWidth="1"/>
    <col min="2" max="2" width="24.7109375" style="1" customWidth="1"/>
    <col min="3" max="6" width="22.7109375" style="1" customWidth="1"/>
    <col min="7" max="7" width="8.28515625" style="1" hidden="1" customWidth="1"/>
    <col min="8" max="8" width="7.7109375" style="1" hidden="1" customWidth="1"/>
    <col min="9" max="9" width="13.28515625" style="1" hidden="1" customWidth="1"/>
    <col min="10" max="10" width="5.7109375" style="1" hidden="1" customWidth="1"/>
    <col min="11" max="11" width="5" style="1" hidden="1" customWidth="1"/>
    <col min="12" max="12" width="5.140625" style="1" hidden="1" customWidth="1"/>
    <col min="13" max="13" width="15.140625" style="1" hidden="1" customWidth="1"/>
    <col min="14" max="14" width="12.7109375" style="1" hidden="1" customWidth="1"/>
    <col min="15" max="15" width="9" style="1" customWidth="1"/>
    <col min="16" max="16" width="6.42578125" style="1" customWidth="1"/>
    <col min="17" max="17" width="6.85546875" style="1" customWidth="1"/>
    <col min="18" max="20" width="5.7109375" style="1" customWidth="1"/>
    <col min="21" max="21" width="7.5703125" style="1" customWidth="1"/>
    <col min="22" max="22" width="5.7109375" style="1" customWidth="1"/>
    <col min="23" max="23" width="7.5703125" style="1" customWidth="1"/>
    <col min="24" max="24" width="5.7109375" style="1" customWidth="1"/>
    <col min="25" max="25" width="7.85546875" style="1" customWidth="1"/>
    <col min="26" max="26" width="6.5703125" style="1" customWidth="1"/>
    <col min="27" max="27" width="7.85546875" style="1" customWidth="1"/>
    <col min="28" max="16384" width="9.140625" style="1"/>
  </cols>
  <sheetData>
    <row r="1" spans="1:28" ht="29.25" customHeight="1" x14ac:dyDescent="0.25">
      <c r="A1" s="85" t="s">
        <v>137</v>
      </c>
      <c r="B1" s="85"/>
      <c r="C1" s="85"/>
      <c r="D1" s="85"/>
      <c r="E1" s="85"/>
      <c r="F1" s="85"/>
      <c r="G1" s="51"/>
      <c r="H1" s="51"/>
      <c r="I1" s="51"/>
      <c r="J1" s="51"/>
      <c r="K1" s="51"/>
      <c r="L1" s="51"/>
      <c r="M1" s="51"/>
    </row>
    <row r="2" spans="1:28" ht="21.75" customHeight="1" x14ac:dyDescent="0.25">
      <c r="A2" s="86" t="s">
        <v>302</v>
      </c>
      <c r="B2" s="86"/>
      <c r="C2" s="86"/>
      <c r="D2" s="86"/>
      <c r="E2" s="86"/>
      <c r="F2" s="86"/>
      <c r="G2" s="51"/>
      <c r="H2" s="51"/>
      <c r="I2" s="51"/>
      <c r="J2" s="51"/>
      <c r="K2" s="51"/>
      <c r="L2" s="51"/>
      <c r="M2" s="51"/>
    </row>
    <row r="3" spans="1:28" s="2" customFormat="1" x14ac:dyDescent="0.25">
      <c r="C3" s="1"/>
      <c r="D3" s="1"/>
      <c r="E3" s="1"/>
      <c r="F3" s="1"/>
      <c r="G3" s="51"/>
      <c r="H3" s="51"/>
      <c r="I3" s="51"/>
      <c r="J3" s="51"/>
      <c r="K3" s="51"/>
      <c r="L3" s="51"/>
      <c r="M3" s="5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30" customHeight="1" x14ac:dyDescent="0.25">
      <c r="A4" s="53" t="s">
        <v>0</v>
      </c>
      <c r="B4" s="5" t="s">
        <v>1</v>
      </c>
      <c r="C4" s="53" t="s">
        <v>2</v>
      </c>
      <c r="D4" s="9" t="s">
        <v>3</v>
      </c>
      <c r="E4" s="53" t="s">
        <v>4</v>
      </c>
      <c r="F4" s="5" t="s">
        <v>152</v>
      </c>
      <c r="G4" s="51"/>
      <c r="H4" s="51" t="s">
        <v>141</v>
      </c>
      <c r="I4" s="51">
        <f>IF(F4="State Service",ROUND(F7*15/31,0),IF(AND(F4="Subordinate",OR(D5=J8,D5=J9,D5=J10,D5=J11,D5=J12)),ROUND(F7*22/31,0),IF(AND(F4="Subordinate",OR(D5=J13,D5=J14,D5=J15,D5=J16,D5=J17,D5=J18)),ROUND(F7*15/31,0),IF(F4="Ministerial",ROUND(F7*22/31,0),F7))))</f>
        <v>21194</v>
      </c>
      <c r="J4" s="51" t="s">
        <v>106</v>
      </c>
      <c r="K4" s="51">
        <v>1</v>
      </c>
      <c r="L4" s="51">
        <f>VLOOKUP(D5,J4:K27,2,FALSE)</f>
        <v>10</v>
      </c>
      <c r="M4" s="51"/>
    </row>
    <row r="5" spans="1:28" ht="30" customHeight="1" x14ac:dyDescent="0.25">
      <c r="A5" s="53" t="s">
        <v>5</v>
      </c>
      <c r="B5" s="5" t="s">
        <v>133</v>
      </c>
      <c r="C5" s="53" t="s">
        <v>6</v>
      </c>
      <c r="D5" s="5" t="s">
        <v>116</v>
      </c>
      <c r="E5" s="53" t="s">
        <v>7</v>
      </c>
      <c r="F5" s="5" t="s">
        <v>8</v>
      </c>
      <c r="G5" s="51"/>
      <c r="H5" s="51" t="s">
        <v>142</v>
      </c>
      <c r="I5" s="52">
        <f>IF(F12="YES",0,IF(F4="State Service",ROUND(F7*5/31,0),IF(AND(F4="Subordinate",L4&lt;10),ROUND(F7*2/31,0),IF(AND(F4="Subordinate",OR(L4&lt;5,L4&gt;9)),ROUND(F7*3/31,0),IF(F4="Ministerial",ROUND(F7*2/31,0),IF(OR(F4="Class IV",L4&lt;5),ROUND(F7/31,0),""))))))</f>
        <v>4239</v>
      </c>
      <c r="J5" s="51" t="s">
        <v>108</v>
      </c>
      <c r="K5" s="51">
        <v>2</v>
      </c>
      <c r="L5" s="51" t="s">
        <v>143</v>
      </c>
      <c r="M5" s="51">
        <f>IF($F$12="YES",0,IF(OR($F$4="Class IV",$L$4&lt;5),0,IF($F$4="State Service",ROUND('GA 55 Editable'!J13*2/30,0),ROUND('GA 55 Editable'!J13/30,0))))</f>
        <v>1879</v>
      </c>
    </row>
    <row r="6" spans="1:28" ht="30" customHeight="1" x14ac:dyDescent="0.25">
      <c r="A6" s="53" t="s">
        <v>9</v>
      </c>
      <c r="B6" s="5" t="s">
        <v>10</v>
      </c>
      <c r="C6" s="53" t="s">
        <v>11</v>
      </c>
      <c r="D6" s="5">
        <v>123456</v>
      </c>
      <c r="E6" s="53" t="s">
        <v>12</v>
      </c>
      <c r="F6" s="50" t="s">
        <v>13</v>
      </c>
      <c r="G6" s="51"/>
      <c r="H6" s="51"/>
      <c r="I6" s="51"/>
      <c r="J6" s="51" t="s">
        <v>109</v>
      </c>
      <c r="K6" s="51">
        <v>3</v>
      </c>
      <c r="L6" s="51" t="s">
        <v>144</v>
      </c>
      <c r="M6" s="51">
        <f>IF($F$12="YES",0,IF(OR($F$4="Class IV",$L$4&lt;5),0,IF($F$4="State Service",ROUND('GA 55 Editable'!J14*2/31,0),ROUND('GA 55 Editable'!J14/31,0))))</f>
        <v>1819</v>
      </c>
    </row>
    <row r="7" spans="1:28" ht="30" customHeight="1" x14ac:dyDescent="0.25">
      <c r="A7" s="54" t="s">
        <v>14</v>
      </c>
      <c r="B7" s="6" t="s">
        <v>15</v>
      </c>
      <c r="C7" s="53" t="s">
        <v>16</v>
      </c>
      <c r="D7" s="5">
        <v>9166023711</v>
      </c>
      <c r="E7" s="53" t="s">
        <v>17</v>
      </c>
      <c r="F7" s="8">
        <v>43800</v>
      </c>
      <c r="G7" s="51"/>
      <c r="H7" s="51"/>
      <c r="I7" s="51"/>
      <c r="J7" s="51" t="s">
        <v>110</v>
      </c>
      <c r="K7" s="51">
        <v>4</v>
      </c>
      <c r="L7" s="51" t="s">
        <v>145</v>
      </c>
      <c r="M7" s="51">
        <f>IF($F$12="YES",0,IF(OR($F$4="Class IV",$L$4&lt;5),0,IF($F$4="State Service",ROUND('GA 55 Editable'!J15*2/30,0),ROUND('GA 55 Editable'!J15/30,0))))</f>
        <v>1879</v>
      </c>
    </row>
    <row r="8" spans="1:28" ht="30" customHeight="1" x14ac:dyDescent="0.25">
      <c r="A8" s="53" t="s">
        <v>18</v>
      </c>
      <c r="B8" s="7">
        <v>0.08</v>
      </c>
      <c r="C8" s="53" t="s">
        <v>19</v>
      </c>
      <c r="D8" s="8">
        <v>3000</v>
      </c>
      <c r="E8" s="57" t="s">
        <v>131</v>
      </c>
      <c r="F8" s="8">
        <v>0</v>
      </c>
      <c r="G8" s="51"/>
      <c r="H8" s="51"/>
      <c r="I8" s="51"/>
      <c r="J8" s="51" t="s">
        <v>111</v>
      </c>
      <c r="K8" s="51">
        <v>5</v>
      </c>
      <c r="L8" s="51" t="s">
        <v>146</v>
      </c>
      <c r="M8" s="51">
        <f>IF($F$12="YES",0,IF(OR($F$4="Class IV",$L$4&lt;5),0,IF($F$4="State Service",ROUND('GA 55 Editable'!J16*2/31,0),ROUND('GA 55 Editable'!J16/31,0))))</f>
        <v>1819</v>
      </c>
    </row>
    <row r="9" spans="1:28" ht="30" customHeight="1" x14ac:dyDescent="0.25">
      <c r="A9" s="53" t="s">
        <v>20</v>
      </c>
      <c r="B9" s="8">
        <v>0</v>
      </c>
      <c r="C9" s="57" t="s">
        <v>132</v>
      </c>
      <c r="D9" s="8">
        <v>0</v>
      </c>
      <c r="E9" s="53" t="s">
        <v>151</v>
      </c>
      <c r="F9" s="5" t="s">
        <v>134</v>
      </c>
      <c r="G9" s="51"/>
      <c r="H9" s="51"/>
      <c r="I9" s="51"/>
      <c r="J9" s="51" t="s">
        <v>112</v>
      </c>
      <c r="K9" s="51">
        <v>6</v>
      </c>
      <c r="L9" s="51" t="s">
        <v>147</v>
      </c>
      <c r="M9" s="51">
        <f>IF($F$12="YES",0,IF(OR($F$4="Class IV",$L$4&lt;5),0,IF($F$4="State Service",ROUND('GA 55 Editable'!J17*2/31,0),ROUND('GA 55 Editable'!J17/31,0))))</f>
        <v>1819</v>
      </c>
    </row>
    <row r="10" spans="1:28" ht="30" customHeight="1" x14ac:dyDescent="0.25">
      <c r="A10" s="53" t="s">
        <v>22</v>
      </c>
      <c r="B10" s="8">
        <v>0</v>
      </c>
      <c r="C10" s="53" t="s">
        <v>23</v>
      </c>
      <c r="D10" s="8">
        <v>0</v>
      </c>
      <c r="E10" s="53" t="s">
        <v>21</v>
      </c>
      <c r="F10" s="8">
        <v>0</v>
      </c>
      <c r="G10" s="51"/>
      <c r="H10" s="51"/>
      <c r="I10" s="51"/>
      <c r="J10" s="51" t="s">
        <v>113</v>
      </c>
      <c r="K10" s="51">
        <v>7</v>
      </c>
      <c r="L10" s="51" t="s">
        <v>148</v>
      </c>
      <c r="M10" s="51">
        <f>IF($F$12="YES",0,IF(OR($F$4="Class IV",$L$4&lt;5),0,IF($F$4="State Service",ROUND('GA 55 Editable'!J18*2/28,0),ROUND('GA 55 Editable'!J18/28,0))))</f>
        <v>2013</v>
      </c>
    </row>
    <row r="11" spans="1:28" ht="30" customHeight="1" x14ac:dyDescent="0.25">
      <c r="A11" s="55" t="s">
        <v>24</v>
      </c>
      <c r="B11" s="5" t="s">
        <v>134</v>
      </c>
      <c r="C11" s="55" t="s">
        <v>25</v>
      </c>
      <c r="D11" s="5">
        <v>12</v>
      </c>
      <c r="E11" s="55" t="s">
        <v>26</v>
      </c>
      <c r="F11" s="5" t="s">
        <v>134</v>
      </c>
      <c r="G11" s="51"/>
      <c r="H11" s="51"/>
      <c r="I11" s="51"/>
      <c r="J11" s="51" t="s">
        <v>114</v>
      </c>
      <c r="K11" s="51">
        <v>8</v>
      </c>
      <c r="L11" s="51"/>
      <c r="M11" s="51"/>
    </row>
    <row r="12" spans="1:28" ht="30" customHeight="1" x14ac:dyDescent="0.25">
      <c r="A12" s="56" t="s">
        <v>299</v>
      </c>
      <c r="B12" s="5" t="s">
        <v>133</v>
      </c>
      <c r="C12" s="56" t="s">
        <v>135</v>
      </c>
      <c r="D12" s="5"/>
      <c r="E12" s="55" t="s">
        <v>27</v>
      </c>
      <c r="F12" s="5" t="s">
        <v>133</v>
      </c>
      <c r="G12" s="51"/>
      <c r="H12" s="51"/>
      <c r="I12" s="51"/>
      <c r="J12" s="51" t="s">
        <v>115</v>
      </c>
      <c r="K12" s="51">
        <v>9</v>
      </c>
      <c r="L12" s="51"/>
      <c r="M12" s="51"/>
    </row>
    <row r="13" spans="1:28" ht="30" customHeight="1" x14ac:dyDescent="0.25">
      <c r="A13" s="56" t="s">
        <v>300</v>
      </c>
      <c r="B13" s="5" t="s">
        <v>133</v>
      </c>
      <c r="C13" s="56" t="s">
        <v>136</v>
      </c>
      <c r="D13" s="5">
        <v>7</v>
      </c>
      <c r="E13" s="56" t="s">
        <v>28</v>
      </c>
      <c r="F13" s="5" t="s">
        <v>133</v>
      </c>
      <c r="G13" s="51"/>
      <c r="H13" s="51"/>
      <c r="I13" s="51"/>
      <c r="J13" s="51" t="s">
        <v>116</v>
      </c>
      <c r="K13" s="51">
        <v>10</v>
      </c>
      <c r="L13" s="51"/>
      <c r="M13" s="51"/>
    </row>
    <row r="14" spans="1:28" ht="30" customHeight="1" x14ac:dyDescent="0.25">
      <c r="G14" s="51"/>
      <c r="H14" s="51"/>
      <c r="I14" s="51"/>
      <c r="J14" s="51" t="s">
        <v>117</v>
      </c>
      <c r="K14" s="51">
        <v>11</v>
      </c>
      <c r="L14" s="51"/>
      <c r="M14" s="51"/>
    </row>
    <row r="15" spans="1:28" ht="30" customHeight="1" x14ac:dyDescent="0.25">
      <c r="G15" s="51"/>
      <c r="H15" s="51"/>
      <c r="I15" s="51"/>
      <c r="J15" s="51" t="s">
        <v>118</v>
      </c>
      <c r="K15" s="51">
        <v>12</v>
      </c>
      <c r="L15" s="51"/>
      <c r="M15" s="51"/>
    </row>
    <row r="16" spans="1:28" ht="30" customHeight="1" x14ac:dyDescent="0.25">
      <c r="G16" s="51"/>
      <c r="H16" s="51"/>
      <c r="I16" s="51"/>
      <c r="J16" s="51" t="s">
        <v>119</v>
      </c>
      <c r="K16" s="51">
        <v>13</v>
      </c>
      <c r="L16" s="51"/>
      <c r="M16" s="51"/>
    </row>
    <row r="17" spans="7:13" ht="30" customHeight="1" x14ac:dyDescent="0.25">
      <c r="G17" s="51"/>
      <c r="H17" s="51"/>
      <c r="I17" s="51"/>
      <c r="J17" s="51" t="s">
        <v>120</v>
      </c>
      <c r="K17" s="51">
        <v>14</v>
      </c>
      <c r="L17" s="51"/>
      <c r="M17" s="51"/>
    </row>
    <row r="18" spans="7:13" ht="30" customHeight="1" x14ac:dyDescent="0.25">
      <c r="G18" s="51"/>
      <c r="H18" s="51"/>
      <c r="I18" s="51"/>
      <c r="J18" s="51" t="s">
        <v>121</v>
      </c>
      <c r="K18" s="51">
        <v>15</v>
      </c>
      <c r="L18" s="51"/>
      <c r="M18" s="51"/>
    </row>
    <row r="19" spans="7:13" ht="30" customHeight="1" x14ac:dyDescent="0.25">
      <c r="G19" s="51"/>
      <c r="H19" s="51"/>
      <c r="I19" s="51"/>
      <c r="J19" s="51" t="s">
        <v>122</v>
      </c>
      <c r="K19" s="51">
        <v>16</v>
      </c>
      <c r="L19" s="51"/>
      <c r="M19" s="51"/>
    </row>
    <row r="20" spans="7:13" ht="30" customHeight="1" x14ac:dyDescent="0.25">
      <c r="G20" s="51"/>
      <c r="H20" s="51"/>
      <c r="I20" s="51"/>
      <c r="J20" s="51" t="s">
        <v>123</v>
      </c>
      <c r="K20" s="51">
        <v>17</v>
      </c>
      <c r="L20" s="51"/>
      <c r="M20" s="51"/>
    </row>
    <row r="21" spans="7:13" ht="30" customHeight="1" x14ac:dyDescent="0.25">
      <c r="G21" s="51"/>
      <c r="H21" s="51"/>
      <c r="I21" s="51"/>
      <c r="J21" s="51" t="s">
        <v>124</v>
      </c>
      <c r="K21" s="51">
        <v>18</v>
      </c>
      <c r="L21" s="51"/>
      <c r="M21" s="51"/>
    </row>
    <row r="22" spans="7:13" ht="30" customHeight="1" x14ac:dyDescent="0.25">
      <c r="G22" s="51"/>
      <c r="H22" s="51"/>
      <c r="I22" s="51"/>
      <c r="J22" s="51" t="s">
        <v>125</v>
      </c>
      <c r="K22" s="51">
        <v>19</v>
      </c>
      <c r="L22" s="51"/>
      <c r="M22" s="51"/>
    </row>
    <row r="23" spans="7:13" ht="30" customHeight="1" x14ac:dyDescent="0.25">
      <c r="G23" s="51"/>
      <c r="H23" s="51"/>
      <c r="I23" s="51"/>
      <c r="J23" s="51" t="s">
        <v>126</v>
      </c>
      <c r="K23" s="51">
        <v>20</v>
      </c>
      <c r="L23" s="51"/>
      <c r="M23" s="51"/>
    </row>
    <row r="24" spans="7:13" ht="30" customHeight="1" x14ac:dyDescent="0.25">
      <c r="G24" s="51"/>
      <c r="H24" s="51"/>
      <c r="I24" s="51"/>
      <c r="J24" s="51" t="s">
        <v>127</v>
      </c>
      <c r="K24" s="51">
        <v>21</v>
      </c>
      <c r="L24" s="51"/>
      <c r="M24" s="51"/>
    </row>
    <row r="25" spans="7:13" ht="30" customHeight="1" x14ac:dyDescent="0.25">
      <c r="G25" s="51"/>
      <c r="H25" s="51"/>
      <c r="I25" s="51"/>
      <c r="J25" s="51" t="s">
        <v>128</v>
      </c>
      <c r="K25" s="51">
        <v>22</v>
      </c>
      <c r="L25" s="51"/>
      <c r="M25" s="51"/>
    </row>
    <row r="26" spans="7:13" ht="30" customHeight="1" x14ac:dyDescent="0.25">
      <c r="G26" s="51"/>
      <c r="H26" s="51"/>
      <c r="I26" s="51"/>
      <c r="J26" s="51" t="s">
        <v>129</v>
      </c>
      <c r="K26" s="51">
        <v>23</v>
      </c>
      <c r="L26" s="51"/>
      <c r="M26" s="51"/>
    </row>
    <row r="27" spans="7:13" ht="30" customHeight="1" x14ac:dyDescent="0.25">
      <c r="G27" s="51"/>
      <c r="H27" s="51"/>
      <c r="I27" s="51"/>
      <c r="J27" s="51" t="s">
        <v>130</v>
      </c>
      <c r="K27" s="51">
        <v>24</v>
      </c>
      <c r="L27" s="51"/>
      <c r="M27" s="51"/>
    </row>
    <row r="28" spans="7:13" ht="30" customHeight="1" x14ac:dyDescent="0.25"/>
    <row r="29" spans="7:13" ht="30" customHeight="1" x14ac:dyDescent="0.25"/>
    <row r="30" spans="7:13" ht="30" customHeight="1" x14ac:dyDescent="0.25"/>
    <row r="31" spans="7:13" ht="30" customHeight="1" x14ac:dyDescent="0.25"/>
    <row r="32" spans="7:13" ht="30" customHeigh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ht="30" customHeight="1" x14ac:dyDescent="0.25"/>
    <row r="39" ht="30" customHeight="1" x14ac:dyDescent="0.25"/>
    <row r="40" ht="30" customHeight="1" x14ac:dyDescent="0.25"/>
    <row r="41" ht="30" customHeight="1" x14ac:dyDescent="0.25"/>
    <row r="42" ht="30" customHeight="1" x14ac:dyDescent="0.25"/>
    <row r="43" ht="30" customHeight="1" x14ac:dyDescent="0.25"/>
    <row r="44" ht="30" customHeight="1" x14ac:dyDescent="0.25"/>
    <row r="45" ht="30" customHeight="1" x14ac:dyDescent="0.25"/>
    <row r="46" ht="30" customHeight="1" x14ac:dyDescent="0.25"/>
    <row r="47" ht="30" customHeight="1" x14ac:dyDescent="0.25"/>
    <row r="48" ht="30" customHeight="1" x14ac:dyDescent="0.25"/>
    <row r="49" ht="30" customHeight="1" x14ac:dyDescent="0.25"/>
    <row r="50" ht="30" customHeight="1" x14ac:dyDescent="0.25"/>
    <row r="51" ht="30" customHeight="1" x14ac:dyDescent="0.25"/>
  </sheetData>
  <sheetProtection password="CE26" sheet="1" objects="1" scenarios="1" selectLockedCells="1"/>
  <mergeCells count="2">
    <mergeCell ref="A1:F1"/>
    <mergeCell ref="A2:F2"/>
  </mergeCells>
  <dataValidations count="6">
    <dataValidation type="list" allowBlank="1" showInputMessage="1" showErrorMessage="1" sqref="D4">
      <formula1>PostAtOffice</formula1>
    </dataValidation>
    <dataValidation type="list" allowBlank="1" showInputMessage="1" showErrorMessage="1" sqref="F4">
      <formula1>"State Service,Subordinate,Ministerial, Class IV"</formula1>
    </dataValidation>
    <dataValidation type="list" allowBlank="1" showInputMessage="1" showErrorMessage="1" sqref="B5 B11:B13 F11:F13 F9">
      <formula1>"Yes,No"</formula1>
    </dataValidation>
    <dataValidation type="list" allowBlank="1" showInputMessage="1" showErrorMessage="1" sqref="D5">
      <formula1>payLevel</formula1>
    </dataValidation>
    <dataValidation type="list" allowBlank="1" showInputMessage="1" showErrorMessage="1" sqref="B8">
      <formula1>"8%,16%,NA"</formula1>
    </dataValidation>
    <dataValidation type="list" allowBlank="1" showInputMessage="1" showErrorMessage="1" sqref="D11:D13">
      <formula1>"1,2,3,4,5,6,7,8,9,10,11,12"</formula1>
    </dataValidation>
  </dataValidations>
  <pageMargins left="0.39370078740157483" right="0.39370078740157483" top="0.39370078740157483" bottom="0.39370078740157483" header="0" footer="0"/>
  <pageSetup paperSize="9" orientation="landscape" verticalDpi="0" r:id="rId1"/>
  <headerFooter>
    <oddHeader>&amp;C
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30"/>
  <sheetViews>
    <sheetView view="pageBreakPreview" topLeftCell="B1" zoomScale="85" zoomScaleNormal="85" zoomScaleSheetLayoutView="85" workbookViewId="0">
      <pane ySplit="6" topLeftCell="A7" activePane="bottomLeft" state="frozen"/>
      <selection activeCell="B1" sqref="B1"/>
      <selection pane="bottomLeft" activeCell="N11" sqref="N11"/>
    </sheetView>
  </sheetViews>
  <sheetFormatPr defaultRowHeight="15" x14ac:dyDescent="0.25"/>
  <cols>
    <col min="1" max="1" width="3.42578125" style="58" hidden="1" customWidth="1"/>
    <col min="2" max="2" width="13.85546875" style="58" customWidth="1"/>
    <col min="3" max="3" width="7.7109375" style="58" customWidth="1"/>
    <col min="4" max="4" width="8.7109375" style="58" customWidth="1"/>
    <col min="5" max="5" width="7.7109375" style="58" customWidth="1"/>
    <col min="6" max="9" width="6.7109375" style="58" customWidth="1"/>
    <col min="10" max="10" width="9.140625" style="58" customWidth="1"/>
    <col min="11" max="11" width="6" style="58" customWidth="1"/>
    <col min="12" max="12" width="7.140625" style="58" customWidth="1"/>
    <col min="13" max="13" width="6.7109375" style="58" customWidth="1"/>
    <col min="14" max="14" width="7" style="58" customWidth="1"/>
    <col min="15" max="15" width="6.140625" style="58" customWidth="1"/>
    <col min="16" max="16" width="5.5703125" style="58" customWidth="1"/>
    <col min="17" max="17" width="5.42578125" style="58" customWidth="1"/>
    <col min="18" max="18" width="5" style="58" customWidth="1"/>
    <col min="19" max="19" width="5.5703125" style="58" customWidth="1"/>
    <col min="20" max="22" width="6.140625" style="58" customWidth="1"/>
    <col min="23" max="23" width="6" style="58" customWidth="1"/>
    <col min="24" max="24" width="7.5703125" style="58" customWidth="1"/>
    <col min="25" max="26" width="8.42578125" style="58" customWidth="1"/>
    <col min="27" max="27" width="10.140625" style="58" customWidth="1"/>
    <col min="28" max="16384" width="9.140625" style="58"/>
  </cols>
  <sheetData>
    <row r="1" spans="1:27" ht="27" customHeight="1" x14ac:dyDescent="0.25">
      <c r="B1" s="87" t="str">
        <f>Master!A1</f>
        <v>कार्यालय प्रधानाचार्य राजकीय उच्च माध्यमिक विद्यालय, रूपपुरा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</row>
    <row r="2" spans="1:27" ht="22.5" customHeight="1" x14ac:dyDescent="0.25">
      <c r="B2" s="88" t="s">
        <v>29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</row>
    <row r="3" spans="1:27" ht="8.25" customHeight="1" x14ac:dyDescent="0.25"/>
    <row r="4" spans="1:27" ht="24.95" customHeight="1" x14ac:dyDescent="0.25">
      <c r="B4" s="77" t="s">
        <v>30</v>
      </c>
      <c r="C4" s="89" t="str">
        <f>IF(Master!B4=0,0,Master!B4)</f>
        <v>Ashwini Kumar Sharma</v>
      </c>
      <c r="D4" s="89"/>
      <c r="E4" s="89"/>
      <c r="F4" s="89"/>
      <c r="G4" s="78" t="s">
        <v>31</v>
      </c>
      <c r="H4" s="90" t="str">
        <f>IF(Master!D4=0,0,Master!D4)</f>
        <v>वरिष्ठ अध्यापक</v>
      </c>
      <c r="I4" s="90"/>
      <c r="J4" s="90"/>
      <c r="K4" s="78" t="s">
        <v>32</v>
      </c>
      <c r="L4" s="89" t="str">
        <f>IF(Master!D5=0,0,Master!D5)</f>
        <v>L-10</v>
      </c>
      <c r="M4" s="89"/>
      <c r="N4" s="91" t="s">
        <v>33</v>
      </c>
      <c r="O4" s="91"/>
      <c r="P4" s="92" t="str">
        <f>IF(Master!F5=0,0,Master!F5)</f>
        <v>RJNA201228008021</v>
      </c>
      <c r="Q4" s="92"/>
      <c r="R4" s="92"/>
      <c r="S4" s="92"/>
      <c r="T4" s="91" t="s">
        <v>34</v>
      </c>
      <c r="U4" s="91"/>
      <c r="V4" s="91"/>
      <c r="W4" s="93">
        <f>IF(Master!F7=0,0,Master!F7)</f>
        <v>43800</v>
      </c>
      <c r="X4" s="93"/>
      <c r="Y4" s="79" t="s">
        <v>138</v>
      </c>
      <c r="Z4" s="94"/>
      <c r="AA4" s="94"/>
    </row>
    <row r="5" spans="1:27" ht="24.95" customHeight="1" x14ac:dyDescent="0.25">
      <c r="B5" s="78" t="s">
        <v>35</v>
      </c>
      <c r="C5" s="89" t="str">
        <f>IF(Master!B6=0,0,Master!B6)</f>
        <v>AAAA9456A</v>
      </c>
      <c r="D5" s="89"/>
      <c r="E5" s="89"/>
      <c r="F5" s="89"/>
      <c r="G5" s="77" t="s">
        <v>36</v>
      </c>
      <c r="H5" s="89">
        <f>IF(Master!D7=0,0,Master!D7)</f>
        <v>9166023711</v>
      </c>
      <c r="I5" s="89"/>
      <c r="J5" s="89"/>
      <c r="K5" s="78" t="s">
        <v>37</v>
      </c>
      <c r="L5" s="89">
        <f>IF(Master!D6=0,0,Master!D6)</f>
        <v>123456</v>
      </c>
      <c r="M5" s="89"/>
      <c r="N5" s="91" t="s">
        <v>38</v>
      </c>
      <c r="O5" s="91"/>
      <c r="P5" s="92" t="str">
        <f>IF(Master!F6=0,0,Master!F6)</f>
        <v>1234567891011</v>
      </c>
      <c r="Q5" s="92"/>
      <c r="R5" s="92"/>
      <c r="S5" s="92"/>
      <c r="T5" s="91" t="s">
        <v>39</v>
      </c>
      <c r="U5" s="91"/>
      <c r="V5" s="91"/>
      <c r="W5" s="89" t="str">
        <f>IF(Master!B7=0,0,Master!B7)</f>
        <v>123456789101112</v>
      </c>
      <c r="X5" s="89"/>
      <c r="Y5" s="89"/>
      <c r="Z5" s="89"/>
    </row>
    <row r="6" spans="1:27" ht="54" customHeight="1" x14ac:dyDescent="0.25">
      <c r="B6" s="14" t="s">
        <v>40</v>
      </c>
      <c r="C6" s="15" t="s">
        <v>41</v>
      </c>
      <c r="D6" s="15" t="s">
        <v>42</v>
      </c>
      <c r="E6" s="15" t="s">
        <v>43</v>
      </c>
      <c r="F6" s="15" t="s">
        <v>44</v>
      </c>
      <c r="G6" s="15" t="s">
        <v>45</v>
      </c>
      <c r="H6" s="15" t="s">
        <v>139</v>
      </c>
      <c r="I6" s="15" t="s">
        <v>301</v>
      </c>
      <c r="J6" s="15" t="s">
        <v>47</v>
      </c>
      <c r="K6" s="15" t="s">
        <v>48</v>
      </c>
      <c r="L6" s="15" t="s">
        <v>49</v>
      </c>
      <c r="M6" s="15" t="s">
        <v>50</v>
      </c>
      <c r="N6" s="15" t="s">
        <v>51</v>
      </c>
      <c r="O6" s="15" t="s">
        <v>52</v>
      </c>
      <c r="P6" s="15" t="s">
        <v>53</v>
      </c>
      <c r="Q6" s="15" t="s">
        <v>140</v>
      </c>
      <c r="R6" s="15" t="s">
        <v>54</v>
      </c>
      <c r="S6" s="15" t="s">
        <v>55</v>
      </c>
      <c r="T6" s="15" t="s">
        <v>56</v>
      </c>
      <c r="U6" s="15" t="s">
        <v>57</v>
      </c>
      <c r="V6" s="15" t="s">
        <v>149</v>
      </c>
      <c r="W6" s="15" t="s">
        <v>150</v>
      </c>
      <c r="X6" s="15" t="s">
        <v>58</v>
      </c>
      <c r="Y6" s="15" t="s">
        <v>59</v>
      </c>
      <c r="Z6" s="15" t="s">
        <v>60</v>
      </c>
      <c r="AA6" s="15" t="s">
        <v>61</v>
      </c>
    </row>
    <row r="7" spans="1:27" ht="21.95" customHeight="1" x14ac:dyDescent="0.25">
      <c r="A7" s="58">
        <v>3</v>
      </c>
      <c r="B7" s="16">
        <v>43891</v>
      </c>
      <c r="C7" s="20">
        <f>IF(Master!I4=0,0,Master!I4)</f>
        <v>21194</v>
      </c>
      <c r="D7" s="20">
        <f>IF(Master!$B$5="Yes",0,IF(C7=0,0,ROUND(C7*17%,0)))</f>
        <v>3603</v>
      </c>
      <c r="E7" s="20">
        <f>IF(Master!$B$5="Yes",0,IF(C7=0,0,ROUND(C7*Master!$B$8,0)))</f>
        <v>1696</v>
      </c>
      <c r="F7" s="20">
        <f>IF(Master!$B$10=0,0,Master!$B$10)</f>
        <v>0</v>
      </c>
      <c r="G7" s="20">
        <f>IF(Master!$D$10=0,0,Master!$D$10)</f>
        <v>0</v>
      </c>
      <c r="H7" s="20">
        <f>IF(Master!$F$10=0,0,Master!$F$10)</f>
        <v>0</v>
      </c>
      <c r="I7" s="59"/>
      <c r="J7" s="20">
        <f>SUM(C7:I7)</f>
        <v>26493</v>
      </c>
      <c r="K7" s="20">
        <f>IF(Master!D6="Class IV",Master!B9,0)</f>
        <v>0</v>
      </c>
      <c r="L7" s="20">
        <f>IF(Master!$F$9="YES",0,IF(Master!D6="Class IV",Master!B9,0))</f>
        <v>0</v>
      </c>
      <c r="M7" s="20">
        <f>IF(Master!$F$9="YES",ROUND((C7+D7)*0.1,0),0)</f>
        <v>2480</v>
      </c>
      <c r="N7" s="20">
        <f>IF(Master!$D$9=0,0,Master!$D$9)</f>
        <v>0</v>
      </c>
      <c r="O7" s="20">
        <f>IF(IF(Master!$F$9="NO",IF($W$4&lt;18001,242,IF($W$4&lt;33501,402,IF($W$4&lt;54001,602,800))),0)=0,0,IF(Master!$F$9="No",IF($W$4&lt;18001,242,IF($W$4&lt;33501,402,IF($W$4&lt;54001,602,800))),0))</f>
        <v>0</v>
      </c>
      <c r="P7" s="59"/>
      <c r="Q7" s="20">
        <f>IF(Master!$F$8=0,0,Master!$F$8)</f>
        <v>0</v>
      </c>
      <c r="R7" s="59"/>
      <c r="S7" s="59"/>
      <c r="T7" s="20">
        <f>IF(Master!I5=0,0,Master!I5)</f>
        <v>4239</v>
      </c>
      <c r="U7" s="59"/>
      <c r="V7" s="59"/>
      <c r="W7" s="59"/>
      <c r="X7" s="59"/>
      <c r="Y7" s="20">
        <f>SUM(K7:X7)</f>
        <v>6719</v>
      </c>
      <c r="Z7" s="20">
        <f>J7-Y7</f>
        <v>19774</v>
      </c>
      <c r="AA7" s="60"/>
    </row>
    <row r="8" spans="1:27" ht="21.95" customHeight="1" x14ac:dyDescent="0.25">
      <c r="A8" s="58">
        <v>4</v>
      </c>
      <c r="B8" s="16">
        <v>43922</v>
      </c>
      <c r="C8" s="20">
        <f>IF(Master!F7=0,0,Master!F7)</f>
        <v>43800</v>
      </c>
      <c r="D8" s="20">
        <f>IF(Master!$B$5="Yes",0,IF(C8=0,0,ROUND(C8*17%,0)))</f>
        <v>7446</v>
      </c>
      <c r="E8" s="20">
        <f>IF(Master!$B$5="Yes",0,IF(C8=0,0,ROUND(C8*Master!$B$8,0)))</f>
        <v>3504</v>
      </c>
      <c r="F8" s="20">
        <f>IF(Master!$B$10=0,0,Master!$B$10)</f>
        <v>0</v>
      </c>
      <c r="G8" s="20">
        <f>IF(Master!$D$10=0,0,Master!$D$10)</f>
        <v>0</v>
      </c>
      <c r="H8" s="20">
        <f>IF(Master!$F$10=0,0,Master!$F$10)</f>
        <v>0</v>
      </c>
      <c r="I8" s="59"/>
      <c r="J8" s="20">
        <f t="shared" ref="J8:J26" si="0">SUM(C8:I8)</f>
        <v>54750</v>
      </c>
      <c r="K8" s="20">
        <f>IF(Master!D8=0,0,Master!D8)</f>
        <v>3000</v>
      </c>
      <c r="L8" s="20">
        <f>IF(Master!$F$9="YES",0,IF(Master!$B$9=0,0,Master!$B$9))</f>
        <v>0</v>
      </c>
      <c r="M8" s="20">
        <f>IF(Master!$F$9="YES",ROUND((C8+D8)*0.1,0),0)</f>
        <v>5125</v>
      </c>
      <c r="N8" s="20">
        <f>IF(Master!$D$9=0,0,Master!$D$9)</f>
        <v>0</v>
      </c>
      <c r="O8" s="20">
        <f>IF(IF(Master!$F$9="No",IF(C8&lt;18001,242,IF(C8&lt;33501,402,IF(C8&lt;54001,602,800))),0)=0,0,IF(Master!$F$9="No",IF(C8&lt;18001,242,IF(C8&lt;33501,402,IF(C8&lt;54001,602,800))),0))</f>
        <v>0</v>
      </c>
      <c r="P8" s="59"/>
      <c r="Q8" s="20">
        <f>IF(Master!$F$8=0,0,Master!$F$8)</f>
        <v>0</v>
      </c>
      <c r="R8" s="59">
        <v>220</v>
      </c>
      <c r="S8" s="20">
        <f t="shared" ref="S8:S18" si="1">IF($S$7=0,0,$S$7)</f>
        <v>0</v>
      </c>
      <c r="T8" s="59"/>
      <c r="U8" s="59"/>
      <c r="V8" s="59"/>
      <c r="W8" s="59"/>
      <c r="X8" s="59"/>
      <c r="Y8" s="20">
        <f t="shared" ref="Y8:Y26" si="2">SUM(K8:X8)</f>
        <v>8345</v>
      </c>
      <c r="Z8" s="20">
        <f t="shared" ref="Z8:Z26" si="3">J8-Y8</f>
        <v>46405</v>
      </c>
      <c r="AA8" s="60"/>
    </row>
    <row r="9" spans="1:27" ht="21.95" customHeight="1" x14ac:dyDescent="0.25">
      <c r="A9" s="58">
        <v>5</v>
      </c>
      <c r="B9" s="16">
        <v>43952</v>
      </c>
      <c r="C9" s="20">
        <f>C8</f>
        <v>43800</v>
      </c>
      <c r="D9" s="20">
        <f>IF(Master!$B$5="Yes",0,IF(C9=0,0,ROUND(C9*17%,0)))</f>
        <v>7446</v>
      </c>
      <c r="E9" s="20">
        <f>IF(Master!$B$5="Yes",0,IF(C9=0,0,ROUND(C9*Master!$B$8,0)))</f>
        <v>3504</v>
      </c>
      <c r="F9" s="20">
        <f>IF(Master!$B$10=0,0,Master!$B$10)</f>
        <v>0</v>
      </c>
      <c r="G9" s="20">
        <f>IF(Master!$D$10=0,0,Master!$D$10)</f>
        <v>0</v>
      </c>
      <c r="H9" s="20">
        <f>IF(Master!$F$10=0,0,Master!$F$10)</f>
        <v>0</v>
      </c>
      <c r="I9" s="59"/>
      <c r="J9" s="20">
        <f t="shared" si="0"/>
        <v>54750</v>
      </c>
      <c r="K9" s="20">
        <f t="shared" ref="K9:K18" si="4">K8</f>
        <v>3000</v>
      </c>
      <c r="L9" s="20">
        <f t="shared" ref="L9:L18" si="5">L8</f>
        <v>0</v>
      </c>
      <c r="M9" s="20">
        <f>IF(Master!$F$9="YES",ROUND((C9+D9)*0.1,0),0)</f>
        <v>5125</v>
      </c>
      <c r="N9" s="20">
        <f>IF(Master!$D$9=0,0,Master!$D$9)</f>
        <v>0</v>
      </c>
      <c r="O9" s="20">
        <f>IF(IF(Master!$F$9="No",IF(C9&lt;18001,288,IF(C9&lt;33501,478,IF(C9&lt;54001,714,950))),0)=0,0,IF(Master!$F$9="No",IF(C9&lt;18001,288,IF(C9&lt;33501,478,IF(C9&lt;54001,714,950))),0))</f>
        <v>0</v>
      </c>
      <c r="P9" s="20">
        <f>IF(Master!$F$4= "Class IV",0,K9)</f>
        <v>3000</v>
      </c>
      <c r="Q9" s="20">
        <f>IF(Master!$F$8=0,0,Master!$F$8)</f>
        <v>0</v>
      </c>
      <c r="R9" s="59"/>
      <c r="S9" s="20">
        <f t="shared" si="1"/>
        <v>0</v>
      </c>
      <c r="T9" s="59"/>
      <c r="U9" s="59"/>
      <c r="V9" s="59"/>
      <c r="W9" s="59"/>
      <c r="X9" s="59"/>
      <c r="Y9" s="20">
        <f t="shared" si="2"/>
        <v>11125</v>
      </c>
      <c r="Z9" s="20">
        <f t="shared" si="3"/>
        <v>43625</v>
      </c>
      <c r="AA9" s="60"/>
    </row>
    <row r="10" spans="1:27" ht="21.95" customHeight="1" x14ac:dyDescent="0.25">
      <c r="A10" s="58">
        <v>6</v>
      </c>
      <c r="B10" s="16">
        <v>43983</v>
      </c>
      <c r="C10" s="20">
        <f>C9</f>
        <v>43800</v>
      </c>
      <c r="D10" s="20">
        <f>IF(Master!$B$5="Yes",0,IF(C10=0,0,ROUND(C10*17%,0)))</f>
        <v>7446</v>
      </c>
      <c r="E10" s="20">
        <f>IF(Master!$B$5="Yes",0,IF(C10=0,0,ROUND(C10*Master!$B$8,0)))</f>
        <v>3504</v>
      </c>
      <c r="F10" s="20">
        <f>IF(Master!$B$10=0,0,Master!$B$10)</f>
        <v>0</v>
      </c>
      <c r="G10" s="20">
        <f>IF(Master!$D$10=0,0,Master!$D$10)</f>
        <v>0</v>
      </c>
      <c r="H10" s="20">
        <f>IF(Master!$F$10=0,0,Master!$F$10)</f>
        <v>0</v>
      </c>
      <c r="I10" s="59"/>
      <c r="J10" s="20">
        <f t="shared" si="0"/>
        <v>54750</v>
      </c>
      <c r="K10" s="20">
        <f t="shared" si="4"/>
        <v>3000</v>
      </c>
      <c r="L10" s="20">
        <f t="shared" si="5"/>
        <v>0</v>
      </c>
      <c r="M10" s="20">
        <f>IF(Master!$F$9="YES",ROUND((C10+D10)*0.1,0),0)</f>
        <v>5125</v>
      </c>
      <c r="N10" s="20">
        <f>IF(Master!$D$9=0,0,Master!$D$9)</f>
        <v>0</v>
      </c>
      <c r="O10" s="20">
        <f>IF(IF(Master!$F$9="No",IF(C10&lt;18001,265,IF(C10&lt;33501,440,IF(C10&lt;54001,658,875))),0)=0,0,IF(Master!$F$9="No",IF(C10&lt;18001,265,IF(C10&lt;33501,440,IF(C10&lt;54001,658,875))),0))</f>
        <v>0</v>
      </c>
      <c r="P10" s="59"/>
      <c r="Q10" s="20">
        <f>IF(Master!$F$8=0,0,Master!$F$8)</f>
        <v>0</v>
      </c>
      <c r="R10" s="59"/>
      <c r="S10" s="20">
        <f t="shared" si="1"/>
        <v>0</v>
      </c>
      <c r="T10" s="59"/>
      <c r="U10" s="59"/>
      <c r="V10" s="59"/>
      <c r="W10" s="59"/>
      <c r="X10" s="59"/>
      <c r="Y10" s="20">
        <f t="shared" si="2"/>
        <v>8125</v>
      </c>
      <c r="Z10" s="20">
        <f t="shared" si="3"/>
        <v>46625</v>
      </c>
      <c r="AA10" s="60"/>
    </row>
    <row r="11" spans="1:27" ht="21.95" customHeight="1" x14ac:dyDescent="0.25">
      <c r="A11" s="58">
        <v>7</v>
      </c>
      <c r="B11" s="16">
        <v>44013</v>
      </c>
      <c r="C11" s="20">
        <f>IF(Master!B5="Yes",'GA 55 Editable'!C10,MROUND(ROUND(1.03*C10,0),100))</f>
        <v>45100</v>
      </c>
      <c r="D11" s="20">
        <f>IF(Master!$B$5="Yes",0,IF(C11=0,0,ROUND(C11*17%,0)))</f>
        <v>7667</v>
      </c>
      <c r="E11" s="20">
        <f>IF(Master!$B$5="Yes",0,IF(C11=0,0,ROUND(C11*Master!$B$8,0)))</f>
        <v>3608</v>
      </c>
      <c r="F11" s="20">
        <f>IF(Master!$B$10=0,0,Master!$B$10)</f>
        <v>0</v>
      </c>
      <c r="G11" s="20">
        <f>IF(Master!$D$10=0,0,Master!$D$10)</f>
        <v>0</v>
      </c>
      <c r="H11" s="20">
        <f>IF(Master!$F$10=0,0,Master!$F$10)</f>
        <v>0</v>
      </c>
      <c r="I11" s="59"/>
      <c r="J11" s="20">
        <f t="shared" si="0"/>
        <v>56375</v>
      </c>
      <c r="K11" s="20">
        <f t="shared" si="4"/>
        <v>3000</v>
      </c>
      <c r="L11" s="20">
        <f t="shared" si="5"/>
        <v>0</v>
      </c>
      <c r="M11" s="20">
        <f>IF(Master!$F$9="YES",ROUND((C11+D11)*0.1,0),0)</f>
        <v>5277</v>
      </c>
      <c r="N11" s="20">
        <f>IF(Master!$D$9=0,0,Master!$D$9)</f>
        <v>0</v>
      </c>
      <c r="O11" s="20">
        <f>IF(IF(Master!$F$9="No",IF(C11&lt;18001,265,IF(C11&lt;33501,440,IF(C11&lt;54001,658,875))),0)=0,0,IF(Master!$F$9="No",IF(C11&lt;18001,265,IF(C11&lt;33501,440,IF(C11&lt;54001,658,875))),0))</f>
        <v>0</v>
      </c>
      <c r="P11" s="59"/>
      <c r="Q11" s="20">
        <f>IF(Master!$F$8=0,0,Master!$F$8)</f>
        <v>0</v>
      </c>
      <c r="R11" s="59"/>
      <c r="S11" s="20">
        <f t="shared" si="1"/>
        <v>0</v>
      </c>
      <c r="T11" s="59"/>
      <c r="U11" s="59"/>
      <c r="V11" s="59"/>
      <c r="W11" s="59"/>
      <c r="X11" s="59"/>
      <c r="Y11" s="20">
        <f t="shared" si="2"/>
        <v>8277</v>
      </c>
      <c r="Z11" s="20">
        <f t="shared" si="3"/>
        <v>48098</v>
      </c>
      <c r="AA11" s="60"/>
    </row>
    <row r="12" spans="1:27" ht="21.95" customHeight="1" x14ac:dyDescent="0.25">
      <c r="A12" s="58">
        <v>8</v>
      </c>
      <c r="B12" s="16">
        <v>44044</v>
      </c>
      <c r="C12" s="20">
        <f>C11</f>
        <v>45100</v>
      </c>
      <c r="D12" s="20">
        <f>IF(Master!$B$5="Yes",0,IF(C12=0,0,ROUND(C12*17%,0)))</f>
        <v>7667</v>
      </c>
      <c r="E12" s="20">
        <f>IF(Master!$B$5="Yes",0,IF(C12=0,0,ROUND(C12*Master!$B$8,0)))</f>
        <v>3608</v>
      </c>
      <c r="F12" s="20">
        <f>IF(Master!$B$10=0,0,Master!$B$10)</f>
        <v>0</v>
      </c>
      <c r="G12" s="20">
        <f>IF(Master!$D$10=0,0,Master!$D$10)</f>
        <v>0</v>
      </c>
      <c r="H12" s="20">
        <f>IF(Master!$F$10=0,0,Master!$F$10)</f>
        <v>0</v>
      </c>
      <c r="I12" s="59"/>
      <c r="J12" s="20">
        <f t="shared" si="0"/>
        <v>56375</v>
      </c>
      <c r="K12" s="20">
        <f t="shared" si="4"/>
        <v>3000</v>
      </c>
      <c r="L12" s="20">
        <f t="shared" si="5"/>
        <v>0</v>
      </c>
      <c r="M12" s="20">
        <f>IF(Master!$F$9="YES",ROUND((C12+D12)*0.1,0),0)</f>
        <v>5277</v>
      </c>
      <c r="N12" s="20">
        <f>IF(Master!$D$9=0,0,Master!$D$9)</f>
        <v>0</v>
      </c>
      <c r="O12" s="20">
        <f>IF(IF(Master!$F$9="No",IF(C12&lt;18001,265,IF(C12&lt;33501,440,IF(C12&lt;54001,658,875))),0)=0,0,IF(Master!$F$9="No",IF(C12&lt;18001,265,IF(C12&lt;33501,440,IF(C12&lt;54001,658,875))),0))</f>
        <v>0</v>
      </c>
      <c r="P12" s="59"/>
      <c r="Q12" s="20">
        <f>IF(Master!$F$8=0,0,Master!$F$8)</f>
        <v>0</v>
      </c>
      <c r="R12" s="59"/>
      <c r="S12" s="20">
        <f t="shared" si="1"/>
        <v>0</v>
      </c>
      <c r="T12" s="59"/>
      <c r="U12" s="59"/>
      <c r="V12" s="59"/>
      <c r="W12" s="59"/>
      <c r="X12" s="59"/>
      <c r="Y12" s="20">
        <f t="shared" si="2"/>
        <v>8277</v>
      </c>
      <c r="Z12" s="20">
        <f t="shared" si="3"/>
        <v>48098</v>
      </c>
      <c r="AA12" s="60"/>
    </row>
    <row r="13" spans="1:27" ht="21.95" customHeight="1" x14ac:dyDescent="0.25">
      <c r="A13" s="58">
        <v>9</v>
      </c>
      <c r="B13" s="16">
        <v>44075</v>
      </c>
      <c r="C13" s="20">
        <f t="shared" ref="C13:C18" si="6">C12</f>
        <v>45100</v>
      </c>
      <c r="D13" s="20">
        <f>IF(Master!$B$5="Yes",0,IF(C13=0,0,ROUND(C13*17%,0)))</f>
        <v>7667</v>
      </c>
      <c r="E13" s="20">
        <f>IF(Master!$B$5="Yes",0,IF(C13=0,0,ROUND(C13*Master!$B$8,0)))</f>
        <v>3608</v>
      </c>
      <c r="F13" s="20">
        <f>IF(Master!$B$10=0,0,Master!$B$10)</f>
        <v>0</v>
      </c>
      <c r="G13" s="20">
        <f>IF(Master!$D$10=0,0,Master!$D$10)</f>
        <v>0</v>
      </c>
      <c r="H13" s="20">
        <f>IF(Master!$F$10=0,0,Master!$F$10)</f>
        <v>0</v>
      </c>
      <c r="I13" s="59"/>
      <c r="J13" s="20">
        <f t="shared" si="0"/>
        <v>56375</v>
      </c>
      <c r="K13" s="20">
        <f t="shared" si="4"/>
        <v>3000</v>
      </c>
      <c r="L13" s="20">
        <f t="shared" si="5"/>
        <v>0</v>
      </c>
      <c r="M13" s="20">
        <f>IF(Master!$F$9="YES",ROUND((C13+D13)*0.1,0),0)</f>
        <v>5277</v>
      </c>
      <c r="N13" s="20">
        <f>IF(Master!$D$9=0,0,Master!$D$9)</f>
        <v>0</v>
      </c>
      <c r="O13" s="20">
        <f>IF(IF(Master!$F$9="No",IF(C13&lt;18001,265,IF(C13&lt;33501,440,IF(C13&lt;54001,658,875))),0)=0,0,IF(Master!$F$9="No",IF(C13&lt;18001,265,IF(C13&lt;33501,440,IF(C13&lt;54001,658,875))),0))</f>
        <v>0</v>
      </c>
      <c r="P13" s="59"/>
      <c r="Q13" s="20">
        <f>IF(Master!$F$8=0,0,Master!$F$8)</f>
        <v>0</v>
      </c>
      <c r="R13" s="59"/>
      <c r="S13" s="20">
        <f t="shared" si="1"/>
        <v>0</v>
      </c>
      <c r="T13" s="20">
        <f>IF(Master!M5=0,0,Master!M5)</f>
        <v>1879</v>
      </c>
      <c r="U13" s="59"/>
      <c r="V13" s="59"/>
      <c r="W13" s="59"/>
      <c r="X13" s="59"/>
      <c r="Y13" s="20">
        <f t="shared" si="2"/>
        <v>10156</v>
      </c>
      <c r="Z13" s="20">
        <f t="shared" si="3"/>
        <v>46219</v>
      </c>
      <c r="AA13" s="60"/>
    </row>
    <row r="14" spans="1:27" ht="21.95" customHeight="1" x14ac:dyDescent="0.25">
      <c r="A14" s="58">
        <v>10</v>
      </c>
      <c r="B14" s="16">
        <v>44105</v>
      </c>
      <c r="C14" s="20">
        <f t="shared" si="6"/>
        <v>45100</v>
      </c>
      <c r="D14" s="20">
        <f>IF(Master!$B$5="Yes",0,IF(C14=0,0,ROUND(C14*17%,0)))</f>
        <v>7667</v>
      </c>
      <c r="E14" s="20">
        <f>IF(Master!$B$5="Yes",0,IF(C14=0,0,ROUND(C14*Master!$B$8,0)))</f>
        <v>3608</v>
      </c>
      <c r="F14" s="20">
        <f>IF(Master!$B$10=0,0,Master!$B$10)</f>
        <v>0</v>
      </c>
      <c r="G14" s="20">
        <f>IF(Master!$D$10=0,0,Master!$D$10)</f>
        <v>0</v>
      </c>
      <c r="H14" s="20">
        <f>IF(Master!$F$10=0,0,Master!$F$10)</f>
        <v>0</v>
      </c>
      <c r="I14" s="59"/>
      <c r="J14" s="20">
        <f t="shared" si="0"/>
        <v>56375</v>
      </c>
      <c r="K14" s="20">
        <f t="shared" si="4"/>
        <v>3000</v>
      </c>
      <c r="L14" s="20">
        <f t="shared" si="5"/>
        <v>0</v>
      </c>
      <c r="M14" s="20">
        <f>IF(Master!$F$9="YES",ROUND((C14+D14)*0.1,0),0)</f>
        <v>5277</v>
      </c>
      <c r="N14" s="20">
        <f>IF(Master!$D$9=0,0,Master!$D$9)</f>
        <v>0</v>
      </c>
      <c r="O14" s="20">
        <f>IF(IF(Master!$F$9="No",IF(C14&lt;18001,265,IF(C14&lt;33501,440,IF(C14&lt;54001,658,875))),0)=0,0,IF(Master!$F$9="No",IF(C14&lt;18001,265,IF(C14&lt;33501,440,IF(C14&lt;54001,658,875))),0))</f>
        <v>0</v>
      </c>
      <c r="P14" s="59"/>
      <c r="Q14" s="20">
        <f>IF(Master!$F$8=0,0,Master!$F$8)</f>
        <v>0</v>
      </c>
      <c r="R14" s="59"/>
      <c r="S14" s="20">
        <f t="shared" si="1"/>
        <v>0</v>
      </c>
      <c r="T14" s="20">
        <f>IF(Master!M6=0,0,Master!M6)</f>
        <v>1819</v>
      </c>
      <c r="U14" s="59"/>
      <c r="V14" s="59"/>
      <c r="W14" s="59"/>
      <c r="X14" s="59"/>
      <c r="Y14" s="20">
        <f t="shared" si="2"/>
        <v>10096</v>
      </c>
      <c r="Z14" s="20">
        <f t="shared" si="3"/>
        <v>46279</v>
      </c>
      <c r="AA14" s="60"/>
    </row>
    <row r="15" spans="1:27" ht="21.95" customHeight="1" x14ac:dyDescent="0.25">
      <c r="A15" s="58">
        <v>11</v>
      </c>
      <c r="B15" s="16">
        <v>44136</v>
      </c>
      <c r="C15" s="20">
        <f t="shared" si="6"/>
        <v>45100</v>
      </c>
      <c r="D15" s="20">
        <f>IF(Master!$B$5="Yes",0,IF(C15=0,0,ROUND(C15*17%,0)))</f>
        <v>7667</v>
      </c>
      <c r="E15" s="20">
        <f>IF(Master!$B$5="Yes",0,IF(C15=0,0,ROUND(C15*Master!$B$8,0)))</f>
        <v>3608</v>
      </c>
      <c r="F15" s="20">
        <f>IF(Master!$B$10=0,0,Master!$B$10)</f>
        <v>0</v>
      </c>
      <c r="G15" s="20">
        <f>IF(Master!$D$10=0,0,Master!$D$10)</f>
        <v>0</v>
      </c>
      <c r="H15" s="20">
        <f>IF(Master!$F$10=0,0,Master!$F$10)</f>
        <v>0</v>
      </c>
      <c r="I15" s="59"/>
      <c r="J15" s="20">
        <f t="shared" si="0"/>
        <v>56375</v>
      </c>
      <c r="K15" s="20">
        <f t="shared" si="4"/>
        <v>3000</v>
      </c>
      <c r="L15" s="20">
        <f t="shared" si="5"/>
        <v>0</v>
      </c>
      <c r="M15" s="20">
        <f>IF(Master!$F$9="YES",ROUND((C15+D15)*0.1,0),0)</f>
        <v>5277</v>
      </c>
      <c r="N15" s="20">
        <f>IF(Master!$D$9=0,0,Master!$D$9)</f>
        <v>0</v>
      </c>
      <c r="O15" s="20">
        <f>IF(IF(Master!$F$9="No",IF(C15&lt;18001,265,IF(C15&lt;33501,440,IF(C15&lt;54001,658,875))),0)=0,0,IF(Master!$F$9="No",IF(C15&lt;18001,265,IF(C15&lt;33501,440,IF(C15&lt;54001,658,875))),0))</f>
        <v>0</v>
      </c>
      <c r="P15" s="59"/>
      <c r="Q15" s="20">
        <f>IF(Master!$F$8=0,0,Master!$F$8)</f>
        <v>0</v>
      </c>
      <c r="R15" s="59"/>
      <c r="S15" s="20">
        <f t="shared" si="1"/>
        <v>0</v>
      </c>
      <c r="T15" s="20">
        <f>IF(Master!$F$13="No",0,IF(Master!M7=0,0,Master!M7))</f>
        <v>0</v>
      </c>
      <c r="U15" s="59"/>
      <c r="V15" s="59"/>
      <c r="W15" s="59"/>
      <c r="X15" s="59"/>
      <c r="Y15" s="20">
        <f t="shared" si="2"/>
        <v>8277</v>
      </c>
      <c r="Z15" s="20">
        <f t="shared" si="3"/>
        <v>48098</v>
      </c>
      <c r="AA15" s="60"/>
    </row>
    <row r="16" spans="1:27" ht="21.95" customHeight="1" x14ac:dyDescent="0.25">
      <c r="A16" s="58">
        <v>12</v>
      </c>
      <c r="B16" s="16">
        <v>44166</v>
      </c>
      <c r="C16" s="20">
        <f t="shared" si="6"/>
        <v>45100</v>
      </c>
      <c r="D16" s="20">
        <f>IF(Master!$B$5="Yes",0,IF(C16=0,0,ROUND(C16*17%,0)))</f>
        <v>7667</v>
      </c>
      <c r="E16" s="20">
        <f>IF(Master!$B$5="Yes",0,IF(C16=0,0,ROUND(C16*Master!$B$8,0)))</f>
        <v>3608</v>
      </c>
      <c r="F16" s="20">
        <f>IF(Master!$B$10=0,0,Master!$B$10)</f>
        <v>0</v>
      </c>
      <c r="G16" s="20">
        <f>IF(Master!$D$10=0,0,Master!$D$10)</f>
        <v>0</v>
      </c>
      <c r="H16" s="20">
        <f>IF(Master!$F$10=0,0,Master!$F$10)</f>
        <v>0</v>
      </c>
      <c r="I16" s="59"/>
      <c r="J16" s="20">
        <f t="shared" si="0"/>
        <v>56375</v>
      </c>
      <c r="K16" s="20">
        <f t="shared" si="4"/>
        <v>3000</v>
      </c>
      <c r="L16" s="20">
        <f t="shared" si="5"/>
        <v>0</v>
      </c>
      <c r="M16" s="20">
        <f>IF(Master!$F$9="YES",ROUND((C16+D16)*0.1,0),0)</f>
        <v>5277</v>
      </c>
      <c r="N16" s="20">
        <f>IF(Master!$D$9=0,0,Master!$D$9)</f>
        <v>0</v>
      </c>
      <c r="O16" s="20">
        <f>IF(IF(Master!$F$9="No",IF(C16&lt;18001,265,IF(C16&lt;33501,440,IF(C16&lt;54001,658,875))),0)=0,0,IF(Master!$F$9="No",IF(C16&lt;18001,265,IF(C16&lt;33501,440,IF(C16&lt;54001,658,875))),0))</f>
        <v>0</v>
      </c>
      <c r="P16" s="59"/>
      <c r="Q16" s="20">
        <f>IF(Master!$F$8=0,0,Master!$F$8)</f>
        <v>0</v>
      </c>
      <c r="R16" s="59"/>
      <c r="S16" s="20">
        <f t="shared" si="1"/>
        <v>0</v>
      </c>
      <c r="T16" s="20">
        <f>IF(Master!$F$13="No",0,IF(Master!M8=0,0,Master!M8))</f>
        <v>0</v>
      </c>
      <c r="U16" s="59"/>
      <c r="V16" s="20">
        <f>IF(Master!F4="State Service",500,250)</f>
        <v>250</v>
      </c>
      <c r="W16" s="59"/>
      <c r="X16" s="59"/>
      <c r="Y16" s="20">
        <f t="shared" si="2"/>
        <v>8527</v>
      </c>
      <c r="Z16" s="20">
        <f t="shared" si="3"/>
        <v>47848</v>
      </c>
      <c r="AA16" s="60"/>
    </row>
    <row r="17" spans="1:27" ht="21.95" customHeight="1" x14ac:dyDescent="0.25">
      <c r="A17" s="58">
        <v>1</v>
      </c>
      <c r="B17" s="16">
        <v>44197</v>
      </c>
      <c r="C17" s="20">
        <f t="shared" si="6"/>
        <v>45100</v>
      </c>
      <c r="D17" s="20">
        <f>IF(Master!$B$5="Yes",0,IF(C17=0,0,ROUND(C17*17%,0)))</f>
        <v>7667</v>
      </c>
      <c r="E17" s="20">
        <f>IF(Master!$B$5="Yes",0,IF(C17=0,0,ROUND(C17*Master!$B$8,0)))</f>
        <v>3608</v>
      </c>
      <c r="F17" s="20">
        <f>IF(Master!$B$10=0,0,Master!$B$10)</f>
        <v>0</v>
      </c>
      <c r="G17" s="20">
        <f>IF(Master!$D$10=0,0,Master!$D$10)</f>
        <v>0</v>
      </c>
      <c r="H17" s="20">
        <f>IF(Master!$F$10=0,0,Master!$F$10)</f>
        <v>0</v>
      </c>
      <c r="I17" s="59"/>
      <c r="J17" s="20">
        <f t="shared" si="0"/>
        <v>56375</v>
      </c>
      <c r="K17" s="20">
        <f t="shared" si="4"/>
        <v>3000</v>
      </c>
      <c r="L17" s="20">
        <f t="shared" si="5"/>
        <v>0</v>
      </c>
      <c r="M17" s="20">
        <f>IF(Master!$F$9="YES",ROUND((C17+D17)*0.1,0),0)</f>
        <v>5277</v>
      </c>
      <c r="N17" s="20">
        <f>IF(Master!$D$9=0,0,Master!$D$9)</f>
        <v>0</v>
      </c>
      <c r="O17" s="20">
        <f>IF(IF(Master!$F$9="No",IF(C17&lt;18001,265,IF(C17&lt;33501,440,IF(C17&lt;54001,658,875))),0)=0,0,IF(Master!$F$9="No",IF(C17&lt;18001,265,IF(C17&lt;33501,440,IF(C17&lt;54001,658,875))),0))</f>
        <v>0</v>
      </c>
      <c r="P17" s="59"/>
      <c r="Q17" s="20">
        <f>IF(Master!$F$8=0,0,Master!$F$8)</f>
        <v>0</v>
      </c>
      <c r="R17" s="59"/>
      <c r="S17" s="20">
        <f t="shared" si="1"/>
        <v>0</v>
      </c>
      <c r="T17" s="20">
        <f>IF(Master!$F$13="No",0,IF(Master!M9=0,0,Master!M9))</f>
        <v>0</v>
      </c>
      <c r="U17" s="59"/>
      <c r="V17" s="59"/>
      <c r="W17" s="59"/>
      <c r="X17" s="59"/>
      <c r="Y17" s="20">
        <f t="shared" si="2"/>
        <v>8277</v>
      </c>
      <c r="Z17" s="20">
        <f t="shared" si="3"/>
        <v>48098</v>
      </c>
      <c r="AA17" s="60"/>
    </row>
    <row r="18" spans="1:27" ht="21.95" customHeight="1" x14ac:dyDescent="0.25">
      <c r="A18" s="58">
        <v>2</v>
      </c>
      <c r="B18" s="16">
        <v>44228</v>
      </c>
      <c r="C18" s="20">
        <f t="shared" si="6"/>
        <v>45100</v>
      </c>
      <c r="D18" s="20">
        <f>IF(Master!$B$5="Yes",0,IF(C18=0,0,ROUND(C18*17%,0)))</f>
        <v>7667</v>
      </c>
      <c r="E18" s="20">
        <f>IF(Master!$B$5="Yes",0,IF(C18=0,0,ROUND(C18*Master!$B$8,0)))</f>
        <v>3608</v>
      </c>
      <c r="F18" s="20">
        <f>IF(Master!$B$10=0,0,Master!$B$10)</f>
        <v>0</v>
      </c>
      <c r="G18" s="20">
        <f>IF(Master!$D$10=0,0,Master!$D$10)</f>
        <v>0</v>
      </c>
      <c r="H18" s="20">
        <f>IF(Master!$F$10=0,0,Master!$F$10)</f>
        <v>0</v>
      </c>
      <c r="I18" s="59"/>
      <c r="J18" s="20">
        <f t="shared" si="0"/>
        <v>56375</v>
      </c>
      <c r="K18" s="20">
        <f t="shared" si="4"/>
        <v>3000</v>
      </c>
      <c r="L18" s="20">
        <f t="shared" si="5"/>
        <v>0</v>
      </c>
      <c r="M18" s="20">
        <f>IF(Master!$F$9="YES",ROUND((C18+D18)*0.1,0),0)</f>
        <v>5277</v>
      </c>
      <c r="N18" s="20">
        <f>IF(Master!$D$9=0,0,Master!$D$9)</f>
        <v>0</v>
      </c>
      <c r="O18" s="20">
        <f>IF(IF(Master!$F$9="No",IF(C18&lt;18001,265,IF(C18&lt;33501,440,IF(C18&lt;54001,658,875))),0)=0,0,IF(Master!$F$9="No",IF(C18&lt;18001,265,IF(C18&lt;33501,440,IF(C18&lt;54001,658,875))),0))</f>
        <v>0</v>
      </c>
      <c r="P18" s="59"/>
      <c r="Q18" s="20">
        <f>IF(Master!$F$8=0,0,Master!$F$8)</f>
        <v>0</v>
      </c>
      <c r="R18" s="59"/>
      <c r="S18" s="20">
        <f t="shared" si="1"/>
        <v>0</v>
      </c>
      <c r="T18" s="20">
        <f>IF(Master!$F$13="No",0,IF(Master!M10=0,0,Master!M10))</f>
        <v>0</v>
      </c>
      <c r="U18" s="59"/>
      <c r="V18" s="59"/>
      <c r="W18" s="59"/>
      <c r="X18" s="59"/>
      <c r="Y18" s="20">
        <f t="shared" si="2"/>
        <v>8277</v>
      </c>
      <c r="Z18" s="20">
        <f t="shared" si="3"/>
        <v>48098</v>
      </c>
      <c r="AA18" s="60"/>
    </row>
    <row r="19" spans="1:27" ht="30" x14ac:dyDescent="0.25">
      <c r="B19" s="17" t="s">
        <v>62</v>
      </c>
      <c r="C19" s="59"/>
      <c r="D19" s="20">
        <f>IF(IF(Master!$F$11="Yes",(ROUND(17%*$C$9,0)-ROUND(12%*$C$9,0))*6+IF(Master!$B$12="NO",0,IF(AND(Master!$D$12&gt;6,Master!$D$12&lt;13),ROUND(17%*$C$9/2,0)-ROUND(12%*$C$9/2,0),0)),0)=0,0,IF(Master!$F$11="Yes",(ROUND(17%*$C$9,0)-ROUND(12%*$C$9,0))*6+IF(Master!$B$12="NO",0,IF(AND(Master!$D$12&gt;6,Master!$D$12&lt;13),ROUND(17%*$C$9/2,0)-ROUND(12%*$C$9/2,0),0)),0))</f>
        <v>13140</v>
      </c>
      <c r="E19" s="59"/>
      <c r="F19" s="59"/>
      <c r="G19" s="59"/>
      <c r="H19" s="59"/>
      <c r="I19" s="59"/>
      <c r="J19" s="20">
        <f t="shared" si="0"/>
        <v>13140</v>
      </c>
      <c r="K19" s="59"/>
      <c r="L19" s="20">
        <f>IF(IF(Master!$F$9="Yes",0,IF(Master!$F$9="No",$D$19,0))=0,0,IF(Master!$F$9="Yes",0,IF(Master!$F$9="No",$D$19,0)))</f>
        <v>0</v>
      </c>
      <c r="M19" s="20">
        <f>IF(IF(Master!$F$11="Yes",IF(IF(Master!$F$9="Yes",ROUND((ROUND(17%*$W$4,0)-ROUND(12%*$W$4,0))*10%,0)*6,0)=0,0,IF(Master!$F$9="Yes",ROUND((ROUND(17%*$W$4,0)-ROUND(12%*$W$4,0))*10%,0)*6,0)),0)=0,0,IF(Master!$F$11="Yes",IF(IF(Master!$F$9="Yes",ROUND((ROUND(17%*$W$4,0)-ROUND(12%*$W$4,0))*10%,0)*6,0)=0,0,IF(Master!$F$9="Yes",ROUND((ROUND(17%*$W$4,0)-ROUND(12%*$W$4,0))*10%,0)*6,0)),0))</f>
        <v>1314</v>
      </c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20">
        <f t="shared" si="2"/>
        <v>1314</v>
      </c>
      <c r="Z19" s="20">
        <f t="shared" si="3"/>
        <v>11826</v>
      </c>
      <c r="AA19" s="60"/>
    </row>
    <row r="20" spans="1:27" ht="30" x14ac:dyDescent="0.25">
      <c r="B20" s="17" t="s">
        <v>63</v>
      </c>
      <c r="C20" s="59"/>
      <c r="D20" s="20">
        <f>IF(IF(Master!$F$11="Yes",(ROUND(17%*$C$9,0)-ROUND(12%*$C$9,0))*2+IF(Master!$B$12="NO",0,IF(AND(Master!$D$12&gt;0,Master!$D$12&lt;4),ROUND(17%*C9,0)-ROUND(12%*C9,0),0)),0)=0,0,IF(Master!$F$11="Yes",(ROUND(17%*$C$9,0)-ROUND(12%*$C$9,0))*2+IF(Master!$B$12="NO",0,IF(AND(Master!$D$12&gt;0,Master!$D$12&lt;4),ROUND(17%*C9,0)-ROUND(12%*C9,0),0)),0))</f>
        <v>4380</v>
      </c>
      <c r="E20" s="59"/>
      <c r="F20" s="59"/>
      <c r="G20" s="59"/>
      <c r="H20" s="59"/>
      <c r="I20" s="59"/>
      <c r="J20" s="20">
        <f t="shared" si="0"/>
        <v>4380</v>
      </c>
      <c r="K20" s="59"/>
      <c r="L20" s="20">
        <f>IF(IF(Master!$F$9="Yes",0,IF(Master!$F$9="No",$D$20,0))=0,0,IF(Master!$F$9="Yes",0,IF(Master!$F$9="No",$D$20,0)))</f>
        <v>0</v>
      </c>
      <c r="M20" s="20">
        <f>IF(IF(Master!$F$11="Yes",IF(IF(Master!$F$9="Yes",ROUND((ROUND(17%*$W$4,0)-ROUND(12%*$W$4,0))*10%,0)*2,0)=0,0,IF(Master!$F$9="Yes",ROUND((ROUND(17%*$W$4,0)-ROUND(12%*$W$4,0))*10%,0)*2,0)),0)=0,0,IF(Master!$F$11="Yes",IF(IF(Master!$F$9="Yes",ROUND((ROUND(17%*$W$4,0)-ROUND(12%*$W$4,0))*10%,0)*2,0)=0,0,IF(Master!$F$9="Yes",ROUND((ROUND(17%*$W$4,0)-ROUND(12%*$W$4,0))*10%,0)*2,0)),0))</f>
        <v>438</v>
      </c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20">
        <f t="shared" si="2"/>
        <v>438</v>
      </c>
      <c r="Z20" s="20">
        <f t="shared" si="3"/>
        <v>3942</v>
      </c>
      <c r="AA20" s="60"/>
    </row>
    <row r="21" spans="1:27" ht="21.95" customHeight="1" x14ac:dyDescent="0.25">
      <c r="B21" s="18" t="s">
        <v>64</v>
      </c>
      <c r="C21" s="20">
        <f>IF(ROUND(IF(Master!$B$11="YES",6774/12*Master!$D$11,0),0)=0,0,ROUND(IF(Master!$B$11="YES",6774/12*Master!$D$11,0),0))</f>
        <v>6774</v>
      </c>
      <c r="D21" s="59"/>
      <c r="E21" s="59"/>
      <c r="F21" s="59"/>
      <c r="G21" s="59"/>
      <c r="H21" s="59"/>
      <c r="I21" s="59"/>
      <c r="J21" s="20">
        <f t="shared" si="0"/>
        <v>6774</v>
      </c>
      <c r="K21" s="59"/>
      <c r="L21" s="20">
        <f>IF(IFERROR(IF(Master!$F$9="Yes",0,IF(Master!$F$9="No",ROUND($C$21*75%,0),0)),0)=0,0,IFERROR(IF(Master!$F$9="Yes",0,IF(Master!$F$9="No",ROUND($C$21*75%,0),0)),0))</f>
        <v>0</v>
      </c>
      <c r="M21" s="59"/>
      <c r="N21" s="59"/>
      <c r="O21" s="59"/>
      <c r="P21" s="59"/>
      <c r="Q21" s="59"/>
      <c r="R21" s="59"/>
      <c r="S21" s="59"/>
      <c r="T21" s="59"/>
      <c r="U21" s="20">
        <f>IFERROR(IF(IF(Master!$F$9="No",0,ROUND($C$21*75%,0))=0,0,IF(Master!$F$9="No",0,ROUND($C$21*75%,0))),0)</f>
        <v>5081</v>
      </c>
      <c r="V21" s="59"/>
      <c r="W21" s="59"/>
      <c r="X21" s="59"/>
      <c r="Y21" s="20">
        <f t="shared" si="2"/>
        <v>5081</v>
      </c>
      <c r="Z21" s="20">
        <f t="shared" si="3"/>
        <v>1693</v>
      </c>
      <c r="AA21" s="60"/>
    </row>
    <row r="22" spans="1:27" ht="21.95" customHeight="1" x14ac:dyDescent="0.25">
      <c r="B22" s="18" t="s">
        <v>65</v>
      </c>
      <c r="C22" s="20">
        <f>IF(Master!$B$13="NO",0,IF(OR(Master!$D$13="NA",Master!$D$13&gt;8,Master!$D$13&lt;4),0,IF(Master!$D$13=3,$C$18,IF(Master!$D$13=4,$C$8,VLOOKUP(Master!$D$13,A7:C18,3,FALSE)))))/2</f>
        <v>0</v>
      </c>
      <c r="D22" s="20">
        <f>ROUND(17%*C22,0)</f>
        <v>0</v>
      </c>
      <c r="E22" s="59"/>
      <c r="F22" s="59"/>
      <c r="G22" s="59"/>
      <c r="H22" s="59"/>
      <c r="I22" s="59"/>
      <c r="J22" s="20">
        <f t="shared" si="0"/>
        <v>0</v>
      </c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20">
        <f t="shared" si="2"/>
        <v>0</v>
      </c>
      <c r="Z22" s="20">
        <f t="shared" si="3"/>
        <v>0</v>
      </c>
      <c r="AA22" s="60"/>
    </row>
    <row r="23" spans="1:27" ht="30" x14ac:dyDescent="0.25">
      <c r="B23" s="17" t="s">
        <v>66</v>
      </c>
      <c r="C23" s="59"/>
      <c r="D23" s="20">
        <f>IF(Master!$B$5="Yes",0,IF(C23=0,0,ROUND(C23*17%,0)))</f>
        <v>0</v>
      </c>
      <c r="E23" s="59"/>
      <c r="F23" s="59"/>
      <c r="G23" s="59"/>
      <c r="H23" s="59"/>
      <c r="I23" s="59"/>
      <c r="J23" s="20">
        <f t="shared" si="0"/>
        <v>0</v>
      </c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20">
        <f t="shared" si="2"/>
        <v>0</v>
      </c>
      <c r="Z23" s="20">
        <f t="shared" si="3"/>
        <v>0</v>
      </c>
      <c r="AA23" s="60"/>
    </row>
    <row r="24" spans="1:27" ht="21.95" customHeight="1" x14ac:dyDescent="0.25">
      <c r="B24" s="18" t="s">
        <v>150</v>
      </c>
      <c r="C24" s="59"/>
      <c r="D24" s="20">
        <f>IF(Master!$B$5="Yes",0,IF(C24=0,0,ROUND(C24*17%,0)))</f>
        <v>0</v>
      </c>
      <c r="E24" s="59"/>
      <c r="F24" s="59"/>
      <c r="G24" s="59"/>
      <c r="H24" s="59"/>
      <c r="I24" s="59"/>
      <c r="J24" s="20">
        <f t="shared" si="0"/>
        <v>0</v>
      </c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20">
        <f t="shared" si="2"/>
        <v>0</v>
      </c>
      <c r="Z24" s="20">
        <f t="shared" si="3"/>
        <v>0</v>
      </c>
      <c r="AA24" s="60"/>
    </row>
    <row r="25" spans="1:27" ht="21.95" customHeight="1" x14ac:dyDescent="0.25">
      <c r="B25" s="18" t="s">
        <v>153</v>
      </c>
      <c r="C25" s="59"/>
      <c r="D25" s="20">
        <f>IF(Master!$B$5="Yes",0,IF(C25=0,0,ROUND(C25*17%,0)))</f>
        <v>0</v>
      </c>
      <c r="E25" s="59"/>
      <c r="F25" s="59"/>
      <c r="G25" s="59"/>
      <c r="H25" s="59"/>
      <c r="I25" s="59"/>
      <c r="J25" s="20">
        <f t="shared" si="0"/>
        <v>0</v>
      </c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20">
        <f t="shared" si="2"/>
        <v>0</v>
      </c>
      <c r="Z25" s="20">
        <f t="shared" si="3"/>
        <v>0</v>
      </c>
      <c r="AA25" s="60"/>
    </row>
    <row r="26" spans="1:27" ht="21.95" customHeight="1" x14ac:dyDescent="0.25">
      <c r="B26" s="18" t="s">
        <v>154</v>
      </c>
      <c r="C26" s="59"/>
      <c r="D26" s="20">
        <f>IF(Master!$B$5="Yes",0,IF(C26=0,0,ROUND(C26*17%,0)))</f>
        <v>0</v>
      </c>
      <c r="E26" s="59"/>
      <c r="F26" s="59"/>
      <c r="G26" s="59"/>
      <c r="H26" s="59"/>
      <c r="I26" s="59"/>
      <c r="J26" s="20">
        <f t="shared" si="0"/>
        <v>0</v>
      </c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20">
        <f t="shared" si="2"/>
        <v>0</v>
      </c>
      <c r="Z26" s="20">
        <f t="shared" si="3"/>
        <v>0</v>
      </c>
      <c r="AA26" s="60"/>
    </row>
    <row r="27" spans="1:27" ht="74.25" customHeight="1" x14ac:dyDescent="0.25">
      <c r="B27" s="19" t="s">
        <v>67</v>
      </c>
      <c r="C27" s="38">
        <f>SUM(C7:C26)</f>
        <v>520168</v>
      </c>
      <c r="D27" s="38">
        <f t="shared" ref="D27:Z27" si="7">SUM(D7:D26)</f>
        <v>104797</v>
      </c>
      <c r="E27" s="38">
        <f t="shared" si="7"/>
        <v>41072</v>
      </c>
      <c r="F27" s="38">
        <f t="shared" si="7"/>
        <v>0</v>
      </c>
      <c r="G27" s="38">
        <f t="shared" si="7"/>
        <v>0</v>
      </c>
      <c r="H27" s="38">
        <f t="shared" si="7"/>
        <v>0</v>
      </c>
      <c r="I27" s="38">
        <f t="shared" si="7"/>
        <v>0</v>
      </c>
      <c r="J27" s="38">
        <f t="shared" si="7"/>
        <v>666037</v>
      </c>
      <c r="K27" s="38">
        <f t="shared" si="7"/>
        <v>33000</v>
      </c>
      <c r="L27" s="38">
        <f t="shared" si="7"/>
        <v>0</v>
      </c>
      <c r="M27" s="38">
        <f t="shared" si="7"/>
        <v>61823</v>
      </c>
      <c r="N27" s="38">
        <f t="shared" si="7"/>
        <v>0</v>
      </c>
      <c r="O27" s="38">
        <f t="shared" si="7"/>
        <v>0</v>
      </c>
      <c r="P27" s="38">
        <f t="shared" si="7"/>
        <v>3000</v>
      </c>
      <c r="Q27" s="38">
        <f t="shared" si="7"/>
        <v>0</v>
      </c>
      <c r="R27" s="38">
        <f t="shared" si="7"/>
        <v>220</v>
      </c>
      <c r="S27" s="38">
        <f t="shared" si="7"/>
        <v>0</v>
      </c>
      <c r="T27" s="38">
        <f t="shared" si="7"/>
        <v>7937</v>
      </c>
      <c r="U27" s="38">
        <f t="shared" si="7"/>
        <v>5081</v>
      </c>
      <c r="V27" s="38">
        <f t="shared" si="7"/>
        <v>250</v>
      </c>
      <c r="W27" s="38">
        <f t="shared" si="7"/>
        <v>0</v>
      </c>
      <c r="X27" s="38">
        <f t="shared" si="7"/>
        <v>0</v>
      </c>
      <c r="Y27" s="38">
        <f t="shared" si="7"/>
        <v>111311</v>
      </c>
      <c r="Z27" s="38">
        <f t="shared" si="7"/>
        <v>554726</v>
      </c>
      <c r="AA27" s="61"/>
    </row>
    <row r="29" spans="1:27" x14ac:dyDescent="0.25">
      <c r="L29" s="71"/>
    </row>
    <row r="30" spans="1:27" x14ac:dyDescent="0.25">
      <c r="B30" s="95" t="s">
        <v>68</v>
      </c>
      <c r="C30" s="95"/>
      <c r="D30" s="95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95" t="s">
        <v>69</v>
      </c>
      <c r="Z30" s="95"/>
      <c r="AA30" s="10"/>
    </row>
  </sheetData>
  <sheetProtection password="CCE4" sheet="1" objects="1" scenarios="1" formatCells="0" formatColumns="0" formatRows="0" insertColumns="0"/>
  <mergeCells count="19">
    <mergeCell ref="B30:D30"/>
    <mergeCell ref="Y30:Z30"/>
    <mergeCell ref="C5:F5"/>
    <mergeCell ref="W5:Z5"/>
    <mergeCell ref="H5:J5"/>
    <mergeCell ref="L5:M5"/>
    <mergeCell ref="N5:O5"/>
    <mergeCell ref="P5:S5"/>
    <mergeCell ref="T5:V5"/>
    <mergeCell ref="B1:AA1"/>
    <mergeCell ref="B2:Z2"/>
    <mergeCell ref="C4:F4"/>
    <mergeCell ref="H4:J4"/>
    <mergeCell ref="L4:M4"/>
    <mergeCell ref="N4:O4"/>
    <mergeCell ref="P4:S4"/>
    <mergeCell ref="T4:V4"/>
    <mergeCell ref="W4:X4"/>
    <mergeCell ref="Z4:AA4"/>
  </mergeCells>
  <conditionalFormatting sqref="C7:Z27">
    <cfRule type="cellIs" dxfId="17" priority="1" stopIfTrue="1" operator="equal">
      <formula>0</formula>
    </cfRule>
  </conditionalFormatting>
  <pageMargins left="0.39370078740157483" right="0.39370078740157483" top="0.39370078740157483" bottom="0.39370078740157483" header="0" footer="0"/>
  <pageSetup paperSize="9" scale="74" orientation="landscape" verticalDpi="0" r:id="rId1"/>
  <headerFooter>
    <oddFooter>&amp;Cwww.ashwinisharma.com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0"/>
  <sheetViews>
    <sheetView zoomScaleNormal="100" zoomScaleSheetLayoutView="85" workbookViewId="0">
      <selection activeCell="D10" sqref="D10"/>
    </sheetView>
  </sheetViews>
  <sheetFormatPr defaultRowHeight="30" customHeight="1" x14ac:dyDescent="0.25"/>
  <cols>
    <col min="1" max="1" width="4.7109375" style="62" customWidth="1"/>
    <col min="2" max="2" width="45.7109375" style="62" customWidth="1"/>
    <col min="3" max="3" width="5.7109375" style="62" customWidth="1"/>
    <col min="4" max="4" width="16.7109375" style="62" customWidth="1"/>
    <col min="5" max="5" width="4.7109375" style="62" customWidth="1"/>
    <col min="6" max="6" width="50.7109375" style="62" customWidth="1"/>
    <col min="7" max="7" width="16.7109375" style="62" customWidth="1"/>
    <col min="8" max="8" width="9.140625" style="62"/>
    <col min="9" max="10" width="0" style="62" hidden="1" customWidth="1"/>
    <col min="11" max="11" width="9.7109375" style="62" hidden="1" customWidth="1"/>
    <col min="12" max="14" width="0" style="62" hidden="1" customWidth="1"/>
    <col min="15" max="16384" width="9.140625" style="62"/>
  </cols>
  <sheetData>
    <row r="1" spans="1:13" ht="30" customHeight="1" x14ac:dyDescent="0.25">
      <c r="A1" s="98" t="s">
        <v>297</v>
      </c>
      <c r="B1" s="98"/>
      <c r="C1" s="98"/>
      <c r="D1" s="98"/>
      <c r="E1" s="98"/>
      <c r="F1" s="98"/>
      <c r="G1" s="98"/>
    </row>
    <row r="2" spans="1:13" ht="30" customHeight="1" x14ac:dyDescent="0.25">
      <c r="A2" s="99" t="str">
        <f>Master!B4&amp;", "&amp;Master!D4</f>
        <v>Ashwini Kumar Sharma, वरिष्ठ अध्यापक</v>
      </c>
      <c r="B2" s="99"/>
      <c r="C2" s="99"/>
      <c r="D2" s="99"/>
      <c r="E2" s="99"/>
      <c r="F2" s="99"/>
      <c r="G2" s="99"/>
    </row>
    <row r="3" spans="1:13" ht="30" customHeight="1" x14ac:dyDescent="0.25">
      <c r="A3" s="73">
        <v>1</v>
      </c>
      <c r="B3" s="68" t="s">
        <v>298</v>
      </c>
      <c r="C3" s="69" t="s">
        <v>333</v>
      </c>
      <c r="D3" s="40">
        <f>IF(C3="Yes",'GA 55 For Print'!E27,0)</f>
        <v>0</v>
      </c>
      <c r="E3" s="67">
        <v>19</v>
      </c>
      <c r="F3" s="68" t="s">
        <v>279</v>
      </c>
      <c r="G3" s="63"/>
    </row>
    <row r="4" spans="1:13" ht="30" customHeight="1" x14ac:dyDescent="0.25">
      <c r="A4" s="73">
        <v>2</v>
      </c>
      <c r="B4" s="96" t="s">
        <v>264</v>
      </c>
      <c r="C4" s="97"/>
      <c r="D4" s="63"/>
      <c r="E4" s="67">
        <v>20</v>
      </c>
      <c r="F4" s="68" t="s">
        <v>280</v>
      </c>
      <c r="G4" s="63"/>
      <c r="K4" s="64">
        <f>SUM(D19,G6)</f>
        <v>0</v>
      </c>
    </row>
    <row r="5" spans="1:13" ht="30" customHeight="1" x14ac:dyDescent="0.25">
      <c r="A5" s="73">
        <v>3</v>
      </c>
      <c r="B5" s="96" t="s">
        <v>265</v>
      </c>
      <c r="C5" s="97"/>
      <c r="D5" s="63"/>
      <c r="E5" s="67">
        <v>21</v>
      </c>
      <c r="F5" s="68" t="s">
        <v>281</v>
      </c>
      <c r="G5" s="63"/>
      <c r="K5" s="64">
        <f>SUM(G7,D19)</f>
        <v>0</v>
      </c>
    </row>
    <row r="6" spans="1:13" ht="30" customHeight="1" x14ac:dyDescent="0.25">
      <c r="A6" s="73">
        <v>4</v>
      </c>
      <c r="B6" s="96" t="s">
        <v>266</v>
      </c>
      <c r="C6" s="97"/>
      <c r="D6" s="40">
        <f>IF(J6&gt;0,J6,0)</f>
        <v>61823</v>
      </c>
      <c r="E6" s="67">
        <v>22</v>
      </c>
      <c r="F6" s="68" t="s">
        <v>282</v>
      </c>
      <c r="G6" s="63"/>
      <c r="J6" s="64">
        <f>IF(K6&gt;L6,L6,K6)</f>
        <v>61823</v>
      </c>
      <c r="K6" s="64">
        <f>IF(Master!$F$9="No",0,ROUND(10%*'GA 55 For Print'!$J$27,0))</f>
        <v>66604</v>
      </c>
      <c r="L6" s="64">
        <f>IF(Master!$F$9="No",0,'GA 55 For Print'!$M$27)</f>
        <v>61823</v>
      </c>
    </row>
    <row r="7" spans="1:13" ht="30" customHeight="1" x14ac:dyDescent="0.25">
      <c r="A7" s="73">
        <v>5</v>
      </c>
      <c r="B7" s="96" t="s">
        <v>267</v>
      </c>
      <c r="C7" s="97"/>
      <c r="D7" s="40">
        <f>IF('GA 55 For Print'!T27="","",'GA 55 For Print'!T27)</f>
        <v>7937</v>
      </c>
      <c r="E7" s="67">
        <v>23</v>
      </c>
      <c r="F7" s="68" t="s">
        <v>283</v>
      </c>
      <c r="G7" s="63"/>
      <c r="K7" s="65">
        <f>SUM('Tax Calculaton Old'!F21:F30,'Tax Calculaton Old'!L21:L28)</f>
        <v>103124</v>
      </c>
      <c r="L7" s="64">
        <f>IF(Master!$F$9="No",50000,IF(M7&gt;50000,50000,M7))</f>
        <v>0</v>
      </c>
      <c r="M7" s="64">
        <f>IF(K7&gt;150000,K7-150000,0)</f>
        <v>0</v>
      </c>
    </row>
    <row r="8" spans="1:13" ht="30" customHeight="1" x14ac:dyDescent="0.25">
      <c r="A8" s="73">
        <v>6</v>
      </c>
      <c r="B8" s="96" t="s">
        <v>268</v>
      </c>
      <c r="C8" s="97"/>
      <c r="D8" s="63"/>
      <c r="E8" s="67">
        <v>24</v>
      </c>
      <c r="F8" s="68" t="s">
        <v>284</v>
      </c>
      <c r="G8" s="63"/>
      <c r="J8" s="64">
        <f>IF(Master!$F$12="No",25000,50000)</f>
        <v>25000</v>
      </c>
    </row>
    <row r="9" spans="1:13" ht="30" customHeight="1" x14ac:dyDescent="0.25">
      <c r="A9" s="73">
        <v>7</v>
      </c>
      <c r="B9" s="96" t="s">
        <v>269</v>
      </c>
      <c r="C9" s="97"/>
      <c r="D9" s="63"/>
      <c r="E9" s="67">
        <v>25</v>
      </c>
      <c r="F9" s="68" t="s">
        <v>285</v>
      </c>
      <c r="G9" s="63"/>
    </row>
    <row r="10" spans="1:13" ht="30" customHeight="1" x14ac:dyDescent="0.25">
      <c r="A10" s="73">
        <v>8</v>
      </c>
      <c r="B10" s="96" t="s">
        <v>270</v>
      </c>
      <c r="C10" s="97"/>
      <c r="D10" s="63"/>
      <c r="E10" s="67">
        <v>26</v>
      </c>
      <c r="F10" s="68" t="s">
        <v>286</v>
      </c>
      <c r="G10" s="63"/>
      <c r="J10" s="64">
        <f>IF(Master!$F$12="No",40000,100000)</f>
        <v>40000</v>
      </c>
    </row>
    <row r="11" spans="1:13" ht="30" customHeight="1" x14ac:dyDescent="0.25">
      <c r="A11" s="73">
        <v>9</v>
      </c>
      <c r="B11" s="96" t="s">
        <v>271</v>
      </c>
      <c r="C11" s="97"/>
      <c r="D11" s="63"/>
      <c r="E11" s="67">
        <v>27</v>
      </c>
      <c r="F11" s="68" t="s">
        <v>287</v>
      </c>
      <c r="G11" s="63"/>
      <c r="J11" s="66">
        <f>SUM('GA 55 For Print'!C7:C18,'GA 55 For Print'!D7:D18)</f>
        <v>600671</v>
      </c>
    </row>
    <row r="12" spans="1:13" ht="30" customHeight="1" x14ac:dyDescent="0.25">
      <c r="A12" s="73">
        <v>10</v>
      </c>
      <c r="B12" s="96" t="s">
        <v>272</v>
      </c>
      <c r="C12" s="97"/>
      <c r="D12" s="63"/>
      <c r="E12" s="67">
        <v>28</v>
      </c>
      <c r="F12" s="68" t="s">
        <v>288</v>
      </c>
      <c r="G12" s="63"/>
      <c r="J12" s="66">
        <f>'GA 55 For Print'!E27</f>
        <v>41072</v>
      </c>
    </row>
    <row r="13" spans="1:13" ht="30" customHeight="1" x14ac:dyDescent="0.25">
      <c r="A13" s="73">
        <v>11</v>
      </c>
      <c r="B13" s="96" t="s">
        <v>273</v>
      </c>
      <c r="C13" s="97"/>
      <c r="D13" s="63"/>
      <c r="E13" s="67">
        <v>29</v>
      </c>
      <c r="F13" s="68" t="s">
        <v>289</v>
      </c>
      <c r="G13" s="63"/>
    </row>
    <row r="14" spans="1:13" ht="30" customHeight="1" x14ac:dyDescent="0.25">
      <c r="A14" s="73">
        <v>12</v>
      </c>
      <c r="B14" s="96" t="s">
        <v>274</v>
      </c>
      <c r="C14" s="97"/>
      <c r="D14" s="63"/>
      <c r="E14" s="67">
        <v>30</v>
      </c>
      <c r="F14" s="68" t="s">
        <v>290</v>
      </c>
      <c r="G14" s="63"/>
    </row>
    <row r="15" spans="1:13" ht="30" customHeight="1" x14ac:dyDescent="0.25">
      <c r="A15" s="73">
        <v>13</v>
      </c>
      <c r="B15" s="96" t="s">
        <v>275</v>
      </c>
      <c r="C15" s="97"/>
      <c r="D15" s="63"/>
      <c r="E15" s="67">
        <v>31</v>
      </c>
      <c r="F15" s="68" t="s">
        <v>291</v>
      </c>
      <c r="G15" s="63"/>
    </row>
    <row r="16" spans="1:13" ht="30" customHeight="1" x14ac:dyDescent="0.25">
      <c r="A16" s="73">
        <v>14</v>
      </c>
      <c r="B16" s="96" t="s">
        <v>276</v>
      </c>
      <c r="C16" s="97"/>
      <c r="D16" s="63"/>
      <c r="E16" s="67">
        <v>32</v>
      </c>
      <c r="F16" s="68" t="s">
        <v>292</v>
      </c>
      <c r="G16" s="63"/>
    </row>
    <row r="17" spans="1:7" ht="30" customHeight="1" x14ac:dyDescent="0.25">
      <c r="A17" s="73">
        <v>15</v>
      </c>
      <c r="B17" s="96" t="s">
        <v>277</v>
      </c>
      <c r="C17" s="97"/>
      <c r="D17" s="63"/>
      <c r="E17" s="67">
        <v>33</v>
      </c>
      <c r="F17" s="68" t="s">
        <v>293</v>
      </c>
      <c r="G17" s="63"/>
    </row>
    <row r="18" spans="1:7" ht="30" customHeight="1" x14ac:dyDescent="0.25">
      <c r="A18" s="73">
        <v>16</v>
      </c>
      <c r="B18" s="96" t="s">
        <v>184</v>
      </c>
      <c r="C18" s="97"/>
      <c r="D18" s="63"/>
      <c r="E18" s="67">
        <v>34</v>
      </c>
      <c r="F18" s="68" t="s">
        <v>294</v>
      </c>
      <c r="G18" s="63"/>
    </row>
    <row r="19" spans="1:7" ht="30" customHeight="1" x14ac:dyDescent="0.25">
      <c r="A19" s="73">
        <v>17</v>
      </c>
      <c r="B19" s="96" t="s">
        <v>278</v>
      </c>
      <c r="C19" s="97"/>
      <c r="D19" s="63"/>
      <c r="E19" s="67">
        <v>35</v>
      </c>
      <c r="F19" s="68" t="s">
        <v>295</v>
      </c>
      <c r="G19" s="63"/>
    </row>
    <row r="20" spans="1:7" ht="30" customHeight="1" x14ac:dyDescent="0.25">
      <c r="A20" s="73">
        <v>18</v>
      </c>
      <c r="B20" s="96" t="s">
        <v>188</v>
      </c>
      <c r="C20" s="97"/>
      <c r="D20" s="63"/>
      <c r="E20" s="67">
        <v>36</v>
      </c>
      <c r="F20" s="68" t="s">
        <v>296</v>
      </c>
      <c r="G20" s="63"/>
    </row>
  </sheetData>
  <sheetProtection password="CE26" sheet="1" objects="1" scenarios="1" selectLockedCells="1"/>
  <mergeCells count="19">
    <mergeCell ref="B20:C20"/>
    <mergeCell ref="B14:C14"/>
    <mergeCell ref="B15:C15"/>
    <mergeCell ref="B16:C16"/>
    <mergeCell ref="B17:C17"/>
    <mergeCell ref="B18:C18"/>
    <mergeCell ref="B19:C19"/>
    <mergeCell ref="B13:C13"/>
    <mergeCell ref="A1:G1"/>
    <mergeCell ref="A2:G2"/>
    <mergeCell ref="B4:C4"/>
    <mergeCell ref="B5:C5"/>
    <mergeCell ref="B6:C6"/>
    <mergeCell ref="B7:C7"/>
    <mergeCell ref="B8:C8"/>
    <mergeCell ref="B9:C9"/>
    <mergeCell ref="B10:C10"/>
    <mergeCell ref="B11:C11"/>
    <mergeCell ref="B12:C12"/>
  </mergeCells>
  <conditionalFormatting sqref="D3:D20">
    <cfRule type="cellIs" dxfId="16" priority="2" stopIfTrue="1" operator="equal">
      <formula>0</formula>
    </cfRule>
  </conditionalFormatting>
  <conditionalFormatting sqref="G3:G20">
    <cfRule type="cellIs" dxfId="15" priority="1" stopIfTrue="1" operator="equal">
      <formula>0</formula>
    </cfRule>
  </conditionalFormatting>
  <dataValidations count="1">
    <dataValidation type="list" allowBlank="1" showInputMessage="1" showErrorMessage="1" sqref="C3">
      <formula1>"YES,NO"</formula1>
    </dataValidation>
  </dataValidations>
  <pageMargins left="0.39370078740157483" right="0.39370078740157483" top="0.39370078740157483" bottom="0.39370078740157483" header="0" footer="0"/>
  <pageSetup paperSize="9" scale="9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1"/>
  <sheetViews>
    <sheetView view="pageBreakPreview" zoomScale="115" zoomScaleNormal="100" zoomScaleSheetLayoutView="115" workbookViewId="0">
      <selection activeCell="G3" sqref="G3"/>
    </sheetView>
  </sheetViews>
  <sheetFormatPr defaultRowHeight="15" x14ac:dyDescent="0.25"/>
  <cols>
    <col min="1" max="1" width="18.28515625" style="1" customWidth="1"/>
    <col min="2" max="2" width="16.85546875" style="1" customWidth="1"/>
    <col min="3" max="3" width="16.7109375" style="1" customWidth="1"/>
    <col min="4" max="4" width="18.140625" style="1" customWidth="1"/>
    <col min="5" max="5" width="16.7109375" style="1" customWidth="1"/>
    <col min="6" max="16384" width="9.140625" style="1"/>
  </cols>
  <sheetData>
    <row r="1" spans="1:5" ht="27" customHeight="1" x14ac:dyDescent="0.25">
      <c r="A1" s="105" t="str">
        <f>Master!A1</f>
        <v>कार्यालय प्रधानाचार्य राजकीय उच्च माध्यमिक विद्यालय, रूपपुरा</v>
      </c>
      <c r="B1" s="105"/>
      <c r="C1" s="105"/>
      <c r="D1" s="105"/>
      <c r="E1" s="105"/>
    </row>
    <row r="3" spans="1:5" ht="48" customHeight="1" x14ac:dyDescent="0.25">
      <c r="A3" s="41" t="s">
        <v>254</v>
      </c>
      <c r="B3" s="106" t="str">
        <f>Master!B4</f>
        <v>Ashwini Kumar Sharma</v>
      </c>
      <c r="C3" s="106"/>
      <c r="D3" s="106"/>
      <c r="E3" s="106"/>
    </row>
    <row r="4" spans="1:5" x14ac:dyDescent="0.25">
      <c r="A4" s="51"/>
      <c r="B4" s="51"/>
      <c r="C4" s="51"/>
      <c r="D4" s="51"/>
      <c r="E4" s="51"/>
    </row>
    <row r="5" spans="1:5" ht="48" customHeight="1" x14ac:dyDescent="0.25">
      <c r="A5" s="42" t="s">
        <v>255</v>
      </c>
      <c r="B5" s="42" t="s">
        <v>256</v>
      </c>
      <c r="C5" s="42" t="s">
        <v>257</v>
      </c>
      <c r="D5" s="42" t="s">
        <v>258</v>
      </c>
      <c r="E5" s="43" t="s">
        <v>259</v>
      </c>
    </row>
    <row r="6" spans="1:5" ht="33.75" customHeight="1" x14ac:dyDescent="0.25">
      <c r="A6" s="39">
        <f>'Tax Calculaton Old'!$M$4</f>
        <v>727860</v>
      </c>
      <c r="B6" s="39">
        <f>'Tax Calculaton Old'!M48</f>
        <v>504980</v>
      </c>
      <c r="C6" s="39">
        <f>'Tax Calculaton Old'!M63</f>
        <v>0</v>
      </c>
      <c r="D6" s="39">
        <f>'Tax Calculaton Old'!M31</f>
        <v>103124</v>
      </c>
      <c r="E6" s="39">
        <f>IF('Other Ded.'!D3=0,0,ROUND(0.1*'Other Ded.'!J11,0)+'Other Ded.'!D3)</f>
        <v>0</v>
      </c>
    </row>
    <row r="8" spans="1:5" ht="35.1" customHeight="1" x14ac:dyDescent="0.25">
      <c r="A8" s="100" t="s">
        <v>260</v>
      </c>
      <c r="B8" s="101"/>
      <c r="C8" s="102" t="str">
        <f>'Tax Calculaton Old'!A64&amp;" = "&amp;'Tax Calculaton Old'!M64</f>
        <v>Income Tax Payable = 14036</v>
      </c>
      <c r="D8" s="103"/>
      <c r="E8" s="104"/>
    </row>
    <row r="9" spans="1:5" ht="35.1" customHeight="1" x14ac:dyDescent="0.25">
      <c r="A9" s="100" t="s">
        <v>261</v>
      </c>
      <c r="B9" s="101"/>
      <c r="C9" s="102" t="str">
        <f>'Tax Calculaton New'!A56&amp;" = "&amp;'Tax Calculaton New'!M56</f>
        <v>Income Tax Payable = 30268</v>
      </c>
      <c r="D9" s="103"/>
      <c r="E9" s="104"/>
    </row>
    <row r="10" spans="1:5" ht="35.1" customHeight="1" x14ac:dyDescent="0.25">
      <c r="A10" s="100" t="s">
        <v>262</v>
      </c>
      <c r="B10" s="101"/>
      <c r="C10" s="102">
        <f>'Tax Calculaton Old'!M31</f>
        <v>103124</v>
      </c>
      <c r="D10" s="103"/>
      <c r="E10" s="104"/>
    </row>
    <row r="11" spans="1:5" ht="35.1" customHeight="1" x14ac:dyDescent="0.25">
      <c r="A11" s="100" t="s">
        <v>263</v>
      </c>
      <c r="B11" s="101"/>
      <c r="C11" s="102">
        <f>150000-C10</f>
        <v>46876</v>
      </c>
      <c r="D11" s="103"/>
      <c r="E11" s="104"/>
    </row>
  </sheetData>
  <sheetProtection password="CE26" sheet="1" objects="1" scenarios="1" selectLockedCells="1"/>
  <mergeCells count="10">
    <mergeCell ref="A11:B11"/>
    <mergeCell ref="C11:E11"/>
    <mergeCell ref="A1:E1"/>
    <mergeCell ref="B3:E3"/>
    <mergeCell ref="A8:B8"/>
    <mergeCell ref="C8:E8"/>
    <mergeCell ref="A9:B9"/>
    <mergeCell ref="C9:E9"/>
    <mergeCell ref="A10:B10"/>
    <mergeCell ref="C10:E10"/>
  </mergeCells>
  <conditionalFormatting sqref="C8:E8">
    <cfRule type="cellIs" dxfId="14" priority="2" operator="lessThan">
      <formula>0</formula>
    </cfRule>
  </conditionalFormatting>
  <conditionalFormatting sqref="C9:E9">
    <cfRule type="cellIs" dxfId="13" priority="1" operator="lessThan">
      <formula>0</formula>
    </cfRule>
  </conditionalFormatting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A30"/>
  <sheetViews>
    <sheetView view="pageBreakPreview" topLeftCell="B1" zoomScale="85" zoomScaleNormal="85" zoomScaleSheetLayoutView="85" workbookViewId="0">
      <pane ySplit="6" topLeftCell="A7" activePane="bottomLeft" state="frozen"/>
      <selection activeCell="B1" sqref="B1"/>
      <selection pane="bottomLeft" activeCell="P19" sqref="P19"/>
    </sheetView>
  </sheetViews>
  <sheetFormatPr defaultRowHeight="15" x14ac:dyDescent="0.25"/>
  <cols>
    <col min="1" max="1" width="3.42578125" style="58" hidden="1" customWidth="1"/>
    <col min="2" max="2" width="13.85546875" style="58" customWidth="1"/>
    <col min="3" max="3" width="7.7109375" style="58" customWidth="1"/>
    <col min="4" max="4" width="8.7109375" style="58" customWidth="1"/>
    <col min="5" max="5" width="7.7109375" style="58" customWidth="1"/>
    <col min="6" max="9" width="6.7109375" style="58" customWidth="1"/>
    <col min="10" max="10" width="9.140625" style="58" customWidth="1"/>
    <col min="11" max="11" width="6" style="58" customWidth="1"/>
    <col min="12" max="12" width="7.140625" style="58" customWidth="1"/>
    <col min="13" max="13" width="6.7109375" style="58" customWidth="1"/>
    <col min="14" max="14" width="7" style="58" customWidth="1"/>
    <col min="15" max="15" width="6.140625" style="58" customWidth="1"/>
    <col min="16" max="16" width="5.5703125" style="58" customWidth="1"/>
    <col min="17" max="17" width="5.42578125" style="58" customWidth="1"/>
    <col min="18" max="18" width="5" style="58" customWidth="1"/>
    <col min="19" max="19" width="5.5703125" style="58" customWidth="1"/>
    <col min="20" max="22" width="6.140625" style="58" customWidth="1"/>
    <col min="23" max="23" width="6" style="58" customWidth="1"/>
    <col min="24" max="24" width="7.5703125" style="58" customWidth="1"/>
    <col min="25" max="26" width="8.42578125" style="58" customWidth="1"/>
    <col min="27" max="27" width="10.140625" style="58" customWidth="1"/>
    <col min="28" max="16384" width="9.140625" style="58"/>
  </cols>
  <sheetData>
    <row r="1" spans="1:27" ht="27" customHeight="1" x14ac:dyDescent="0.25">
      <c r="B1" s="87" t="str">
        <f>Master!A1</f>
        <v>कार्यालय प्रधानाचार्य राजकीय उच्च माध्यमिक विद्यालय, रूपपुरा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</row>
    <row r="2" spans="1:27" ht="22.5" customHeight="1" x14ac:dyDescent="0.25">
      <c r="B2" s="108" t="s">
        <v>29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"/>
    </row>
    <row r="3" spans="1:27" ht="8.25" customHeight="1" x14ac:dyDescent="0.25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</row>
    <row r="4" spans="1:27" ht="24.95" customHeight="1" x14ac:dyDescent="0.25">
      <c r="B4" s="12" t="s">
        <v>30</v>
      </c>
      <c r="C4" s="89" t="str">
        <f>IF('GA 55 Editable'!C4="","",'GA 55 Editable'!C4)</f>
        <v>Ashwini Kumar Sharma</v>
      </c>
      <c r="D4" s="89"/>
      <c r="E4" s="89"/>
      <c r="F4" s="89"/>
      <c r="G4" s="11" t="s">
        <v>31</v>
      </c>
      <c r="H4" s="90" t="str">
        <f>IF('GA 55 Editable'!H4="","",'GA 55 Editable'!H4)</f>
        <v>वरिष्ठ अध्यापक</v>
      </c>
      <c r="I4" s="90"/>
      <c r="J4" s="90"/>
      <c r="K4" s="11" t="s">
        <v>32</v>
      </c>
      <c r="L4" s="89" t="str">
        <f>IF('GA 55 Editable'!L4="","",'GA 55 Editable'!L4)</f>
        <v>L-10</v>
      </c>
      <c r="M4" s="89"/>
      <c r="N4" s="107" t="s">
        <v>33</v>
      </c>
      <c r="O4" s="107"/>
      <c r="P4" s="92" t="str">
        <f>IF('GA 55 Editable'!P4="","",'GA 55 Editable'!P4)</f>
        <v>RJNA201228008021</v>
      </c>
      <c r="Q4" s="92"/>
      <c r="R4" s="92"/>
      <c r="S4" s="92"/>
      <c r="T4" s="107" t="s">
        <v>34</v>
      </c>
      <c r="U4" s="107"/>
      <c r="V4" s="107"/>
      <c r="W4" s="93">
        <f>IF('GA 55 Editable'!W4="","",'GA 55 Editable'!W4)</f>
        <v>43800</v>
      </c>
      <c r="X4" s="93"/>
      <c r="Y4" s="13" t="s">
        <v>138</v>
      </c>
      <c r="Z4" s="109" t="str">
        <f>IF('GA 55 Editable'!Z4="","",'GA 55 Editable'!Z4)</f>
        <v/>
      </c>
      <c r="AA4" s="109"/>
    </row>
    <row r="5" spans="1:27" ht="24.95" customHeight="1" x14ac:dyDescent="0.25">
      <c r="B5" s="11" t="s">
        <v>35</v>
      </c>
      <c r="C5" s="89" t="str">
        <f>IF('GA 55 Editable'!C5="","",'GA 55 Editable'!C5:F5)</f>
        <v>AAAA9456A</v>
      </c>
      <c r="D5" s="89"/>
      <c r="E5" s="89"/>
      <c r="F5" s="89"/>
      <c r="G5" s="12" t="s">
        <v>36</v>
      </c>
      <c r="H5" s="89">
        <f>IF('GA 55 Editable'!H5="","",'GA 55 Editable'!H5)</f>
        <v>9166023711</v>
      </c>
      <c r="I5" s="89"/>
      <c r="J5" s="89"/>
      <c r="K5" s="11" t="s">
        <v>37</v>
      </c>
      <c r="L5" s="89">
        <f>IF('GA 55 Editable'!L5="","",'GA 55 Editable'!L5)</f>
        <v>123456</v>
      </c>
      <c r="M5" s="89"/>
      <c r="N5" s="107" t="s">
        <v>38</v>
      </c>
      <c r="O5" s="107"/>
      <c r="P5" s="92" t="str">
        <f>IF('GA 55 Editable'!P5="","",'GA 55 Editable'!P5)</f>
        <v>1234567891011</v>
      </c>
      <c r="Q5" s="92"/>
      <c r="R5" s="92"/>
      <c r="S5" s="92"/>
      <c r="T5" s="107" t="s">
        <v>39</v>
      </c>
      <c r="U5" s="107"/>
      <c r="V5" s="107"/>
      <c r="W5" s="89" t="str">
        <f>IF('GA 55 Editable'!W5="","",'GA 55 Editable'!W5)</f>
        <v>123456789101112</v>
      </c>
      <c r="X5" s="89"/>
      <c r="Y5" s="89"/>
      <c r="Z5" s="89"/>
      <c r="AA5" s="10"/>
    </row>
    <row r="6" spans="1:27" ht="54" customHeight="1" x14ac:dyDescent="0.25">
      <c r="B6" s="14" t="s">
        <v>40</v>
      </c>
      <c r="C6" s="15" t="s">
        <v>41</v>
      </c>
      <c r="D6" s="15" t="s">
        <v>42</v>
      </c>
      <c r="E6" s="15" t="s">
        <v>43</v>
      </c>
      <c r="F6" s="15" t="s">
        <v>44</v>
      </c>
      <c r="G6" s="15" t="s">
        <v>45</v>
      </c>
      <c r="H6" s="15" t="s">
        <v>139</v>
      </c>
      <c r="I6" s="15" t="s">
        <v>46</v>
      </c>
      <c r="J6" s="15" t="s">
        <v>47</v>
      </c>
      <c r="K6" s="15" t="s">
        <v>48</v>
      </c>
      <c r="L6" s="15" t="s">
        <v>49</v>
      </c>
      <c r="M6" s="15" t="s">
        <v>50</v>
      </c>
      <c r="N6" s="15" t="s">
        <v>51</v>
      </c>
      <c r="O6" s="15" t="s">
        <v>52</v>
      </c>
      <c r="P6" s="15" t="s">
        <v>53</v>
      </c>
      <c r="Q6" s="15" t="s">
        <v>140</v>
      </c>
      <c r="R6" s="15" t="s">
        <v>54</v>
      </c>
      <c r="S6" s="15" t="s">
        <v>55</v>
      </c>
      <c r="T6" s="15" t="s">
        <v>56</v>
      </c>
      <c r="U6" s="15" t="s">
        <v>57</v>
      </c>
      <c r="V6" s="15" t="s">
        <v>149</v>
      </c>
      <c r="W6" s="15" t="s">
        <v>150</v>
      </c>
      <c r="X6" s="15" t="s">
        <v>58</v>
      </c>
      <c r="Y6" s="15" t="s">
        <v>59</v>
      </c>
      <c r="Z6" s="15" t="s">
        <v>60</v>
      </c>
      <c r="AA6" s="15" t="s">
        <v>61</v>
      </c>
    </row>
    <row r="7" spans="1:27" ht="21.95" customHeight="1" x14ac:dyDescent="0.25">
      <c r="A7" s="58">
        <v>3</v>
      </c>
      <c r="B7" s="16">
        <v>43891</v>
      </c>
      <c r="C7" s="20">
        <f>IF('GA 55 Editable'!C7="","",'GA 55 Editable'!C7)</f>
        <v>21194</v>
      </c>
      <c r="D7" s="20">
        <f>IF('GA 55 Editable'!D7="","",'GA 55 Editable'!D7)</f>
        <v>3603</v>
      </c>
      <c r="E7" s="20">
        <f>IF('GA 55 Editable'!E7="","",'GA 55 Editable'!E7)</f>
        <v>1696</v>
      </c>
      <c r="F7" s="20">
        <f>IF('GA 55 Editable'!F7="","",'GA 55 Editable'!F7)</f>
        <v>0</v>
      </c>
      <c r="G7" s="20">
        <f>IF('GA 55 Editable'!G7="","",'GA 55 Editable'!G7)</f>
        <v>0</v>
      </c>
      <c r="H7" s="20">
        <f>IF('GA 55 Editable'!H7="","",'GA 55 Editable'!H7)</f>
        <v>0</v>
      </c>
      <c r="I7" s="20" t="str">
        <f>IF('GA 55 Editable'!I7="","",'GA 55 Editable'!I7)</f>
        <v/>
      </c>
      <c r="J7" s="20">
        <f>IF('GA 55 Editable'!J7="","",'GA 55 Editable'!J7)</f>
        <v>26493</v>
      </c>
      <c r="K7" s="20">
        <f>IF('GA 55 Editable'!K7="","",'GA 55 Editable'!K7)</f>
        <v>0</v>
      </c>
      <c r="L7" s="20">
        <f>IF('GA 55 Editable'!L7="","",'GA 55 Editable'!L7)</f>
        <v>0</v>
      </c>
      <c r="M7" s="20">
        <f>IF('GA 55 Editable'!M7="","",'GA 55 Editable'!M7)</f>
        <v>2480</v>
      </c>
      <c r="N7" s="20">
        <f>IF('GA 55 Editable'!N7="","",'GA 55 Editable'!N7)</f>
        <v>0</v>
      </c>
      <c r="O7" s="20">
        <f>IF('GA 55 Editable'!O7="","",'GA 55 Editable'!O7)</f>
        <v>0</v>
      </c>
      <c r="P7" s="20" t="str">
        <f>IF('GA 55 Editable'!P7="","",'GA 55 Editable'!P7)</f>
        <v/>
      </c>
      <c r="Q7" s="20">
        <f>IF('GA 55 Editable'!Q7="","",'GA 55 Editable'!Q7)</f>
        <v>0</v>
      </c>
      <c r="R7" s="20" t="str">
        <f>IF('GA 55 Editable'!R7="","",'GA 55 Editable'!R7)</f>
        <v/>
      </c>
      <c r="S7" s="20" t="str">
        <f>IF('GA 55 Editable'!S7="","",'GA 55 Editable'!S7)</f>
        <v/>
      </c>
      <c r="T7" s="20">
        <f>IF('GA 55 Editable'!T7="","",'GA 55 Editable'!T7)</f>
        <v>4239</v>
      </c>
      <c r="U7" s="20" t="str">
        <f>IF('GA 55 Editable'!U7="","",'GA 55 Editable'!U7)</f>
        <v/>
      </c>
      <c r="V7" s="20" t="str">
        <f>IF('GA 55 Editable'!V7="","",'GA 55 Editable'!V7)</f>
        <v/>
      </c>
      <c r="W7" s="20" t="str">
        <f>IF('GA 55 Editable'!W7="","",'GA 55 Editable'!W7)</f>
        <v/>
      </c>
      <c r="X7" s="20" t="str">
        <f>IF('GA 55 Editable'!X7="","",'GA 55 Editable'!X7)</f>
        <v/>
      </c>
      <c r="Y7" s="20">
        <f>IF('GA 55 Editable'!Y7="","",'GA 55 Editable'!Y7)</f>
        <v>6719</v>
      </c>
      <c r="Z7" s="20">
        <f>IF('GA 55 Editable'!Z7="","",'GA 55 Editable'!Z7)</f>
        <v>19774</v>
      </c>
      <c r="AA7" s="20" t="str">
        <f>IF('GA 55 Editable'!AA7="","",'GA 55 Editable'!AA7)</f>
        <v/>
      </c>
    </row>
    <row r="8" spans="1:27" ht="21.95" customHeight="1" x14ac:dyDescent="0.25">
      <c r="A8" s="58">
        <v>4</v>
      </c>
      <c r="B8" s="16">
        <v>43922</v>
      </c>
      <c r="C8" s="20">
        <f>IF('GA 55 Editable'!C8="","",'GA 55 Editable'!C8)</f>
        <v>43800</v>
      </c>
      <c r="D8" s="20">
        <f>IF('GA 55 Editable'!D8="","",'GA 55 Editable'!D8)</f>
        <v>7446</v>
      </c>
      <c r="E8" s="20">
        <f>IF('GA 55 Editable'!E8="","",'GA 55 Editable'!E8)</f>
        <v>3504</v>
      </c>
      <c r="F8" s="20">
        <f>IF('GA 55 Editable'!F8="","",'GA 55 Editable'!F8)</f>
        <v>0</v>
      </c>
      <c r="G8" s="20">
        <f>IF('GA 55 Editable'!G8="","",'GA 55 Editable'!G8)</f>
        <v>0</v>
      </c>
      <c r="H8" s="20">
        <f>IF('GA 55 Editable'!H8="","",'GA 55 Editable'!H8)</f>
        <v>0</v>
      </c>
      <c r="I8" s="20" t="str">
        <f>IF('GA 55 Editable'!I8="","",'GA 55 Editable'!I8)</f>
        <v/>
      </c>
      <c r="J8" s="20">
        <f>IF('GA 55 Editable'!J8="","",'GA 55 Editable'!J8)</f>
        <v>54750</v>
      </c>
      <c r="K8" s="20">
        <f>IF('GA 55 Editable'!K8="","",'GA 55 Editable'!K8)</f>
        <v>3000</v>
      </c>
      <c r="L8" s="20">
        <f>IF('GA 55 Editable'!L8="","",'GA 55 Editable'!L8)</f>
        <v>0</v>
      </c>
      <c r="M8" s="20">
        <f>IF('GA 55 Editable'!M8="","",'GA 55 Editable'!M8)</f>
        <v>5125</v>
      </c>
      <c r="N8" s="20">
        <f>IF('GA 55 Editable'!N8="","",'GA 55 Editable'!N8)</f>
        <v>0</v>
      </c>
      <c r="O8" s="20">
        <f>IF('GA 55 Editable'!O8="","",'GA 55 Editable'!O8)</f>
        <v>0</v>
      </c>
      <c r="P8" s="20" t="str">
        <f>IF('GA 55 Editable'!P8="","",'GA 55 Editable'!P8)</f>
        <v/>
      </c>
      <c r="Q8" s="20">
        <f>IF('GA 55 Editable'!Q8="","",'GA 55 Editable'!Q8)</f>
        <v>0</v>
      </c>
      <c r="R8" s="20">
        <f>IF('GA 55 Editable'!R8="","",'GA 55 Editable'!R8)</f>
        <v>220</v>
      </c>
      <c r="S8" s="20">
        <f>IF('GA 55 Editable'!S8="","",'GA 55 Editable'!S8)</f>
        <v>0</v>
      </c>
      <c r="T8" s="20" t="str">
        <f>IF('GA 55 Editable'!T8="","",'GA 55 Editable'!T8)</f>
        <v/>
      </c>
      <c r="U8" s="20" t="str">
        <f>IF('GA 55 Editable'!U8="","",'GA 55 Editable'!U8)</f>
        <v/>
      </c>
      <c r="V8" s="20" t="str">
        <f>IF('GA 55 Editable'!V8="","",'GA 55 Editable'!V8)</f>
        <v/>
      </c>
      <c r="W8" s="20" t="str">
        <f>IF('GA 55 Editable'!W8="","",'GA 55 Editable'!W8)</f>
        <v/>
      </c>
      <c r="X8" s="20" t="str">
        <f>IF('GA 55 Editable'!X8="","",'GA 55 Editable'!X8)</f>
        <v/>
      </c>
      <c r="Y8" s="20">
        <f>IF('GA 55 Editable'!Y8="","",'GA 55 Editable'!Y8)</f>
        <v>8345</v>
      </c>
      <c r="Z8" s="20">
        <f>IF('GA 55 Editable'!Z8="","",'GA 55 Editable'!Z8)</f>
        <v>46405</v>
      </c>
      <c r="AA8" s="20" t="str">
        <f>IF('GA 55 Editable'!AA8="","",'GA 55 Editable'!AA8)</f>
        <v/>
      </c>
    </row>
    <row r="9" spans="1:27" ht="21.95" customHeight="1" x14ac:dyDescent="0.25">
      <c r="A9" s="58">
        <v>5</v>
      </c>
      <c r="B9" s="16">
        <v>43952</v>
      </c>
      <c r="C9" s="20">
        <f>IF('GA 55 Editable'!C9="","",'GA 55 Editable'!C9)</f>
        <v>43800</v>
      </c>
      <c r="D9" s="20">
        <f>IF('GA 55 Editable'!D9="","",'GA 55 Editable'!D9)</f>
        <v>7446</v>
      </c>
      <c r="E9" s="20">
        <f>IF('GA 55 Editable'!E9="","",'GA 55 Editable'!E9)</f>
        <v>3504</v>
      </c>
      <c r="F9" s="20">
        <f>IF('GA 55 Editable'!F9="","",'GA 55 Editable'!F9)</f>
        <v>0</v>
      </c>
      <c r="G9" s="20">
        <f>IF('GA 55 Editable'!G9="","",'GA 55 Editable'!G9)</f>
        <v>0</v>
      </c>
      <c r="H9" s="20">
        <f>IF('GA 55 Editable'!H9="","",'GA 55 Editable'!H9)</f>
        <v>0</v>
      </c>
      <c r="I9" s="20" t="str">
        <f>IF('GA 55 Editable'!I9="","",'GA 55 Editable'!I9)</f>
        <v/>
      </c>
      <c r="J9" s="20">
        <f>IF('GA 55 Editable'!J9="","",'GA 55 Editable'!J9)</f>
        <v>54750</v>
      </c>
      <c r="K9" s="20">
        <f>IF('GA 55 Editable'!K9="","",'GA 55 Editable'!K9)</f>
        <v>3000</v>
      </c>
      <c r="L9" s="20">
        <f>IF('GA 55 Editable'!L9="","",'GA 55 Editable'!L9)</f>
        <v>0</v>
      </c>
      <c r="M9" s="20">
        <f>IF('GA 55 Editable'!M9="","",'GA 55 Editable'!M9)</f>
        <v>5125</v>
      </c>
      <c r="N9" s="20">
        <f>IF('GA 55 Editable'!N9="","",'GA 55 Editable'!N9)</f>
        <v>0</v>
      </c>
      <c r="O9" s="20">
        <f>IF('GA 55 Editable'!O9="","",'GA 55 Editable'!O9)</f>
        <v>0</v>
      </c>
      <c r="P9" s="20">
        <f>IF('GA 55 Editable'!P9="","",'GA 55 Editable'!P9)</f>
        <v>3000</v>
      </c>
      <c r="Q9" s="20">
        <f>IF('GA 55 Editable'!Q9="","",'GA 55 Editable'!Q9)</f>
        <v>0</v>
      </c>
      <c r="R9" s="20" t="str">
        <f>IF('GA 55 Editable'!R9="","",'GA 55 Editable'!R9)</f>
        <v/>
      </c>
      <c r="S9" s="20">
        <f>IF('GA 55 Editable'!S9="","",'GA 55 Editable'!S9)</f>
        <v>0</v>
      </c>
      <c r="T9" s="20" t="str">
        <f>IF('GA 55 Editable'!T9="","",'GA 55 Editable'!T9)</f>
        <v/>
      </c>
      <c r="U9" s="20" t="str">
        <f>IF('GA 55 Editable'!U9="","",'GA 55 Editable'!U9)</f>
        <v/>
      </c>
      <c r="V9" s="20" t="str">
        <f>IF('GA 55 Editable'!V9="","",'GA 55 Editable'!V9)</f>
        <v/>
      </c>
      <c r="W9" s="20" t="str">
        <f>IF('GA 55 Editable'!W9="","",'GA 55 Editable'!W9)</f>
        <v/>
      </c>
      <c r="X9" s="20" t="str">
        <f>IF('GA 55 Editable'!X9="","",'GA 55 Editable'!X9)</f>
        <v/>
      </c>
      <c r="Y9" s="20">
        <f>IF('GA 55 Editable'!Y9="","",'GA 55 Editable'!Y9)</f>
        <v>11125</v>
      </c>
      <c r="Z9" s="20">
        <f>IF('GA 55 Editable'!Z9="","",'GA 55 Editable'!Z9)</f>
        <v>43625</v>
      </c>
      <c r="AA9" s="20" t="str">
        <f>IF('GA 55 Editable'!AA9="","",'GA 55 Editable'!AA9)</f>
        <v/>
      </c>
    </row>
    <row r="10" spans="1:27" ht="21.95" customHeight="1" x14ac:dyDescent="0.25">
      <c r="A10" s="58">
        <v>6</v>
      </c>
      <c r="B10" s="16">
        <v>43983</v>
      </c>
      <c r="C10" s="20">
        <f>IF('GA 55 Editable'!C10="","",'GA 55 Editable'!C10)</f>
        <v>43800</v>
      </c>
      <c r="D10" s="20">
        <f>IF('GA 55 Editable'!D10="","",'GA 55 Editable'!D10)</f>
        <v>7446</v>
      </c>
      <c r="E10" s="20">
        <f>IF('GA 55 Editable'!E10="","",'GA 55 Editable'!E10)</f>
        <v>3504</v>
      </c>
      <c r="F10" s="20">
        <f>IF('GA 55 Editable'!F10="","",'GA 55 Editable'!F10)</f>
        <v>0</v>
      </c>
      <c r="G10" s="20">
        <f>IF('GA 55 Editable'!G10="","",'GA 55 Editable'!G10)</f>
        <v>0</v>
      </c>
      <c r="H10" s="20">
        <f>IF('GA 55 Editable'!H10="","",'GA 55 Editable'!H10)</f>
        <v>0</v>
      </c>
      <c r="I10" s="20" t="str">
        <f>IF('GA 55 Editable'!I10="","",'GA 55 Editable'!I10)</f>
        <v/>
      </c>
      <c r="J10" s="20">
        <f>IF('GA 55 Editable'!J10="","",'GA 55 Editable'!J10)</f>
        <v>54750</v>
      </c>
      <c r="K10" s="20">
        <f>IF('GA 55 Editable'!K10="","",'GA 55 Editable'!K10)</f>
        <v>3000</v>
      </c>
      <c r="L10" s="20">
        <f>IF('GA 55 Editable'!L10="","",'GA 55 Editable'!L10)</f>
        <v>0</v>
      </c>
      <c r="M10" s="20">
        <f>IF('GA 55 Editable'!M10="","",'GA 55 Editable'!M10)</f>
        <v>5125</v>
      </c>
      <c r="N10" s="20">
        <f>IF('GA 55 Editable'!N10="","",'GA 55 Editable'!N10)</f>
        <v>0</v>
      </c>
      <c r="O10" s="20">
        <f>IF('GA 55 Editable'!O10="","",'GA 55 Editable'!O10)</f>
        <v>0</v>
      </c>
      <c r="P10" s="20" t="str">
        <f>IF('GA 55 Editable'!P10="","",'GA 55 Editable'!P10)</f>
        <v/>
      </c>
      <c r="Q10" s="20">
        <f>IF('GA 55 Editable'!Q10="","",'GA 55 Editable'!Q10)</f>
        <v>0</v>
      </c>
      <c r="R10" s="20" t="str">
        <f>IF('GA 55 Editable'!R10="","",'GA 55 Editable'!R10)</f>
        <v/>
      </c>
      <c r="S10" s="20">
        <f>IF('GA 55 Editable'!S10="","",'GA 55 Editable'!S10)</f>
        <v>0</v>
      </c>
      <c r="T10" s="20" t="str">
        <f>IF('GA 55 Editable'!T10="","",'GA 55 Editable'!T10)</f>
        <v/>
      </c>
      <c r="U10" s="20" t="str">
        <f>IF('GA 55 Editable'!U10="","",'GA 55 Editable'!U10)</f>
        <v/>
      </c>
      <c r="V10" s="20" t="str">
        <f>IF('GA 55 Editable'!V10="","",'GA 55 Editable'!V10)</f>
        <v/>
      </c>
      <c r="W10" s="20" t="str">
        <f>IF('GA 55 Editable'!W10="","",'GA 55 Editable'!W10)</f>
        <v/>
      </c>
      <c r="X10" s="20" t="str">
        <f>IF('GA 55 Editable'!X10="","",'GA 55 Editable'!X10)</f>
        <v/>
      </c>
      <c r="Y10" s="20">
        <f>IF('GA 55 Editable'!Y10="","",'GA 55 Editable'!Y10)</f>
        <v>8125</v>
      </c>
      <c r="Z10" s="20">
        <f>IF('GA 55 Editable'!Z10="","",'GA 55 Editable'!Z10)</f>
        <v>46625</v>
      </c>
      <c r="AA10" s="20" t="str">
        <f>IF('GA 55 Editable'!AA10="","",'GA 55 Editable'!AA10)</f>
        <v/>
      </c>
    </row>
    <row r="11" spans="1:27" ht="21.95" customHeight="1" x14ac:dyDescent="0.25">
      <c r="A11" s="58">
        <v>7</v>
      </c>
      <c r="B11" s="16">
        <v>44013</v>
      </c>
      <c r="C11" s="20">
        <f>IF('GA 55 Editable'!C11="","",'GA 55 Editable'!C11)</f>
        <v>45100</v>
      </c>
      <c r="D11" s="20">
        <f>IF('GA 55 Editable'!D11="","",'GA 55 Editable'!D11)</f>
        <v>7667</v>
      </c>
      <c r="E11" s="20">
        <f>IF('GA 55 Editable'!E11="","",'GA 55 Editable'!E11)</f>
        <v>3608</v>
      </c>
      <c r="F11" s="20">
        <f>IF('GA 55 Editable'!F11="","",'GA 55 Editable'!F11)</f>
        <v>0</v>
      </c>
      <c r="G11" s="20">
        <f>IF('GA 55 Editable'!G11="","",'GA 55 Editable'!G11)</f>
        <v>0</v>
      </c>
      <c r="H11" s="20">
        <f>IF('GA 55 Editable'!H11="","",'GA 55 Editable'!H11)</f>
        <v>0</v>
      </c>
      <c r="I11" s="20" t="str">
        <f>IF('GA 55 Editable'!I11="","",'GA 55 Editable'!I11)</f>
        <v/>
      </c>
      <c r="J11" s="20">
        <f>IF('GA 55 Editable'!J11="","",'GA 55 Editable'!J11)</f>
        <v>56375</v>
      </c>
      <c r="K11" s="20">
        <f>IF('GA 55 Editable'!K11="","",'GA 55 Editable'!K11)</f>
        <v>3000</v>
      </c>
      <c r="L11" s="20">
        <f>IF('GA 55 Editable'!L11="","",'GA 55 Editable'!L11)</f>
        <v>0</v>
      </c>
      <c r="M11" s="20">
        <f>IF('GA 55 Editable'!M11="","",'GA 55 Editable'!M11)</f>
        <v>5277</v>
      </c>
      <c r="N11" s="20">
        <f>IF('GA 55 Editable'!N11="","",'GA 55 Editable'!N11)</f>
        <v>0</v>
      </c>
      <c r="O11" s="20">
        <f>IF('GA 55 Editable'!O11="","",'GA 55 Editable'!O11)</f>
        <v>0</v>
      </c>
      <c r="P11" s="20" t="str">
        <f>IF('GA 55 Editable'!P11="","",'GA 55 Editable'!P11)</f>
        <v/>
      </c>
      <c r="Q11" s="20">
        <f>IF('GA 55 Editable'!Q11="","",'GA 55 Editable'!Q11)</f>
        <v>0</v>
      </c>
      <c r="R11" s="20" t="str">
        <f>IF('GA 55 Editable'!R11="","",'GA 55 Editable'!R11)</f>
        <v/>
      </c>
      <c r="S11" s="20">
        <f>IF('GA 55 Editable'!S11="","",'GA 55 Editable'!S11)</f>
        <v>0</v>
      </c>
      <c r="T11" s="20" t="str">
        <f>IF('GA 55 Editable'!T11="","",'GA 55 Editable'!T11)</f>
        <v/>
      </c>
      <c r="U11" s="20" t="str">
        <f>IF('GA 55 Editable'!U11="","",'GA 55 Editable'!U11)</f>
        <v/>
      </c>
      <c r="V11" s="20" t="str">
        <f>IF('GA 55 Editable'!V11="","",'GA 55 Editable'!V11)</f>
        <v/>
      </c>
      <c r="W11" s="20" t="str">
        <f>IF('GA 55 Editable'!W11="","",'GA 55 Editable'!W11)</f>
        <v/>
      </c>
      <c r="X11" s="20" t="str">
        <f>IF('GA 55 Editable'!X11="","",'GA 55 Editable'!X11)</f>
        <v/>
      </c>
      <c r="Y11" s="20">
        <f>IF('GA 55 Editable'!Y11="","",'GA 55 Editable'!Y11)</f>
        <v>8277</v>
      </c>
      <c r="Z11" s="20">
        <f>IF('GA 55 Editable'!Z11="","",'GA 55 Editable'!Z11)</f>
        <v>48098</v>
      </c>
      <c r="AA11" s="20" t="str">
        <f>IF('GA 55 Editable'!AA11="","",'GA 55 Editable'!AA11)</f>
        <v/>
      </c>
    </row>
    <row r="12" spans="1:27" ht="21.95" customHeight="1" x14ac:dyDescent="0.25">
      <c r="A12" s="58">
        <v>8</v>
      </c>
      <c r="B12" s="16">
        <v>44044</v>
      </c>
      <c r="C12" s="20">
        <f>IF('GA 55 Editable'!C12="","",'GA 55 Editable'!C12)</f>
        <v>45100</v>
      </c>
      <c r="D12" s="20">
        <f>IF('GA 55 Editable'!D12="","",'GA 55 Editable'!D12)</f>
        <v>7667</v>
      </c>
      <c r="E12" s="20">
        <f>IF('GA 55 Editable'!E12="","",'GA 55 Editable'!E12)</f>
        <v>3608</v>
      </c>
      <c r="F12" s="20">
        <f>IF('GA 55 Editable'!F12="","",'GA 55 Editable'!F12)</f>
        <v>0</v>
      </c>
      <c r="G12" s="20">
        <f>IF('GA 55 Editable'!G12="","",'GA 55 Editable'!G12)</f>
        <v>0</v>
      </c>
      <c r="H12" s="20">
        <f>IF('GA 55 Editable'!H12="","",'GA 55 Editable'!H12)</f>
        <v>0</v>
      </c>
      <c r="I12" s="20" t="str">
        <f>IF('GA 55 Editable'!I12="","",'GA 55 Editable'!I12)</f>
        <v/>
      </c>
      <c r="J12" s="20">
        <f>IF('GA 55 Editable'!J12="","",'GA 55 Editable'!J12)</f>
        <v>56375</v>
      </c>
      <c r="K12" s="20">
        <f>IF('GA 55 Editable'!K12="","",'GA 55 Editable'!K12)</f>
        <v>3000</v>
      </c>
      <c r="L12" s="20">
        <f>IF('GA 55 Editable'!L12="","",'GA 55 Editable'!L12)</f>
        <v>0</v>
      </c>
      <c r="M12" s="20">
        <f>IF('GA 55 Editable'!M12="","",'GA 55 Editable'!M12)</f>
        <v>5277</v>
      </c>
      <c r="N12" s="20">
        <f>IF('GA 55 Editable'!N12="","",'GA 55 Editable'!N12)</f>
        <v>0</v>
      </c>
      <c r="O12" s="20">
        <f>IF('GA 55 Editable'!O12="","",'GA 55 Editable'!O12)</f>
        <v>0</v>
      </c>
      <c r="P12" s="20" t="str">
        <f>IF('GA 55 Editable'!P12="","",'GA 55 Editable'!P12)</f>
        <v/>
      </c>
      <c r="Q12" s="20">
        <f>IF('GA 55 Editable'!Q12="","",'GA 55 Editable'!Q12)</f>
        <v>0</v>
      </c>
      <c r="R12" s="20" t="str">
        <f>IF('GA 55 Editable'!R12="","",'GA 55 Editable'!R12)</f>
        <v/>
      </c>
      <c r="S12" s="20">
        <f>IF('GA 55 Editable'!S12="","",'GA 55 Editable'!S12)</f>
        <v>0</v>
      </c>
      <c r="T12" s="20" t="str">
        <f>IF('GA 55 Editable'!T12="","",'GA 55 Editable'!T12)</f>
        <v/>
      </c>
      <c r="U12" s="20" t="str">
        <f>IF('GA 55 Editable'!U12="","",'GA 55 Editable'!U12)</f>
        <v/>
      </c>
      <c r="V12" s="20" t="str">
        <f>IF('GA 55 Editable'!V12="","",'GA 55 Editable'!V12)</f>
        <v/>
      </c>
      <c r="W12" s="20" t="str">
        <f>IF('GA 55 Editable'!W12="","",'GA 55 Editable'!W12)</f>
        <v/>
      </c>
      <c r="X12" s="20" t="str">
        <f>IF('GA 55 Editable'!X12="","",'GA 55 Editable'!X12)</f>
        <v/>
      </c>
      <c r="Y12" s="20">
        <f>IF('GA 55 Editable'!Y12="","",'GA 55 Editable'!Y12)</f>
        <v>8277</v>
      </c>
      <c r="Z12" s="20">
        <f>IF('GA 55 Editable'!Z12="","",'GA 55 Editable'!Z12)</f>
        <v>48098</v>
      </c>
      <c r="AA12" s="20" t="str">
        <f>IF('GA 55 Editable'!AA12="","",'GA 55 Editable'!AA12)</f>
        <v/>
      </c>
    </row>
    <row r="13" spans="1:27" ht="21.95" customHeight="1" x14ac:dyDescent="0.25">
      <c r="A13" s="58">
        <v>9</v>
      </c>
      <c r="B13" s="16">
        <v>44075</v>
      </c>
      <c r="C13" s="20">
        <f>IF('GA 55 Editable'!C13="","",'GA 55 Editable'!C13)</f>
        <v>45100</v>
      </c>
      <c r="D13" s="20">
        <f>IF('GA 55 Editable'!D13="","",'GA 55 Editable'!D13)</f>
        <v>7667</v>
      </c>
      <c r="E13" s="20">
        <f>IF('GA 55 Editable'!E13="","",'GA 55 Editable'!E13)</f>
        <v>3608</v>
      </c>
      <c r="F13" s="20">
        <f>IF('GA 55 Editable'!F13="","",'GA 55 Editable'!F13)</f>
        <v>0</v>
      </c>
      <c r="G13" s="20">
        <f>IF('GA 55 Editable'!G13="","",'GA 55 Editable'!G13)</f>
        <v>0</v>
      </c>
      <c r="H13" s="20">
        <f>IF('GA 55 Editable'!H13="","",'GA 55 Editable'!H13)</f>
        <v>0</v>
      </c>
      <c r="I13" s="20" t="str">
        <f>IF('GA 55 Editable'!I13="","",'GA 55 Editable'!I13)</f>
        <v/>
      </c>
      <c r="J13" s="20">
        <f>IF('GA 55 Editable'!J13="","",'GA 55 Editable'!J13)</f>
        <v>56375</v>
      </c>
      <c r="K13" s="20">
        <f>IF('GA 55 Editable'!K13="","",'GA 55 Editable'!K13)</f>
        <v>3000</v>
      </c>
      <c r="L13" s="20">
        <f>IF('GA 55 Editable'!L13="","",'GA 55 Editable'!L13)</f>
        <v>0</v>
      </c>
      <c r="M13" s="20">
        <f>IF('GA 55 Editable'!M13="","",'GA 55 Editable'!M13)</f>
        <v>5277</v>
      </c>
      <c r="N13" s="20">
        <f>IF('GA 55 Editable'!N13="","",'GA 55 Editable'!N13)</f>
        <v>0</v>
      </c>
      <c r="O13" s="20">
        <f>IF('GA 55 Editable'!O13="","",'GA 55 Editable'!O13)</f>
        <v>0</v>
      </c>
      <c r="P13" s="20" t="str">
        <f>IF('GA 55 Editable'!P13="","",'GA 55 Editable'!P13)</f>
        <v/>
      </c>
      <c r="Q13" s="20">
        <f>IF('GA 55 Editable'!Q13="","",'GA 55 Editable'!Q13)</f>
        <v>0</v>
      </c>
      <c r="R13" s="20" t="str">
        <f>IF('GA 55 Editable'!R13="","",'GA 55 Editable'!R13)</f>
        <v/>
      </c>
      <c r="S13" s="20">
        <f>IF('GA 55 Editable'!S13="","",'GA 55 Editable'!S13)</f>
        <v>0</v>
      </c>
      <c r="T13" s="20">
        <f>IF('GA 55 Editable'!T13="","",'GA 55 Editable'!T13)</f>
        <v>1879</v>
      </c>
      <c r="U13" s="20" t="str">
        <f>IF('GA 55 Editable'!U13="","",'GA 55 Editable'!U13)</f>
        <v/>
      </c>
      <c r="V13" s="20" t="str">
        <f>IF('GA 55 Editable'!V13="","",'GA 55 Editable'!V13)</f>
        <v/>
      </c>
      <c r="W13" s="20" t="str">
        <f>IF('GA 55 Editable'!W13="","",'GA 55 Editable'!W13)</f>
        <v/>
      </c>
      <c r="X13" s="20" t="str">
        <f>IF('GA 55 Editable'!X13="","",'GA 55 Editable'!X13)</f>
        <v/>
      </c>
      <c r="Y13" s="20">
        <f>IF('GA 55 Editable'!Y13="","",'GA 55 Editable'!Y13)</f>
        <v>10156</v>
      </c>
      <c r="Z13" s="20">
        <f>IF('GA 55 Editable'!Z13="","",'GA 55 Editable'!Z13)</f>
        <v>46219</v>
      </c>
      <c r="AA13" s="20" t="str">
        <f>IF('GA 55 Editable'!AA13="","",'GA 55 Editable'!AA13)</f>
        <v/>
      </c>
    </row>
    <row r="14" spans="1:27" ht="21.95" customHeight="1" x14ac:dyDescent="0.25">
      <c r="A14" s="58">
        <v>10</v>
      </c>
      <c r="B14" s="16">
        <v>44105</v>
      </c>
      <c r="C14" s="20">
        <f>IF('GA 55 Editable'!C14="","",'GA 55 Editable'!C14)</f>
        <v>45100</v>
      </c>
      <c r="D14" s="20">
        <f>IF('GA 55 Editable'!D14="","",'GA 55 Editable'!D14)</f>
        <v>7667</v>
      </c>
      <c r="E14" s="20">
        <f>IF('GA 55 Editable'!E14="","",'GA 55 Editable'!E14)</f>
        <v>3608</v>
      </c>
      <c r="F14" s="20">
        <f>IF('GA 55 Editable'!F14="","",'GA 55 Editable'!F14)</f>
        <v>0</v>
      </c>
      <c r="G14" s="20">
        <f>IF('GA 55 Editable'!G14="","",'GA 55 Editable'!G14)</f>
        <v>0</v>
      </c>
      <c r="H14" s="20">
        <f>IF('GA 55 Editable'!H14="","",'GA 55 Editable'!H14)</f>
        <v>0</v>
      </c>
      <c r="I14" s="20" t="str">
        <f>IF('GA 55 Editable'!I14="","",'GA 55 Editable'!I14)</f>
        <v/>
      </c>
      <c r="J14" s="20">
        <f>IF('GA 55 Editable'!J14="","",'GA 55 Editable'!J14)</f>
        <v>56375</v>
      </c>
      <c r="K14" s="20">
        <f>IF('GA 55 Editable'!K14="","",'GA 55 Editable'!K14)</f>
        <v>3000</v>
      </c>
      <c r="L14" s="20">
        <f>IF('GA 55 Editable'!L14="","",'GA 55 Editable'!L14)</f>
        <v>0</v>
      </c>
      <c r="M14" s="20">
        <f>IF('GA 55 Editable'!M14="","",'GA 55 Editable'!M14)</f>
        <v>5277</v>
      </c>
      <c r="N14" s="20">
        <f>IF('GA 55 Editable'!N14="","",'GA 55 Editable'!N14)</f>
        <v>0</v>
      </c>
      <c r="O14" s="20">
        <f>IF('GA 55 Editable'!O14="","",'GA 55 Editable'!O14)</f>
        <v>0</v>
      </c>
      <c r="P14" s="20" t="str">
        <f>IF('GA 55 Editable'!P14="","",'GA 55 Editable'!P14)</f>
        <v/>
      </c>
      <c r="Q14" s="20">
        <f>IF('GA 55 Editable'!Q14="","",'GA 55 Editable'!Q14)</f>
        <v>0</v>
      </c>
      <c r="R14" s="20" t="str">
        <f>IF('GA 55 Editable'!R14="","",'GA 55 Editable'!R14)</f>
        <v/>
      </c>
      <c r="S14" s="20">
        <f>IF('GA 55 Editable'!S14="","",'GA 55 Editable'!S14)</f>
        <v>0</v>
      </c>
      <c r="T14" s="20">
        <f>IF('GA 55 Editable'!T14="","",'GA 55 Editable'!T14)</f>
        <v>1819</v>
      </c>
      <c r="U14" s="20" t="str">
        <f>IF('GA 55 Editable'!U14="","",'GA 55 Editable'!U14)</f>
        <v/>
      </c>
      <c r="V14" s="20" t="str">
        <f>IF('GA 55 Editable'!V14="","",'GA 55 Editable'!V14)</f>
        <v/>
      </c>
      <c r="W14" s="20" t="str">
        <f>IF('GA 55 Editable'!W14="","",'GA 55 Editable'!W14)</f>
        <v/>
      </c>
      <c r="X14" s="20" t="str">
        <f>IF('GA 55 Editable'!X14="","",'GA 55 Editable'!X14)</f>
        <v/>
      </c>
      <c r="Y14" s="20">
        <f>IF('GA 55 Editable'!Y14="","",'GA 55 Editable'!Y14)</f>
        <v>10096</v>
      </c>
      <c r="Z14" s="20">
        <f>IF('GA 55 Editable'!Z14="","",'GA 55 Editable'!Z14)</f>
        <v>46279</v>
      </c>
      <c r="AA14" s="20" t="str">
        <f>IF('GA 55 Editable'!AA14="","",'GA 55 Editable'!AA14)</f>
        <v/>
      </c>
    </row>
    <row r="15" spans="1:27" ht="21.95" customHeight="1" x14ac:dyDescent="0.25">
      <c r="A15" s="58">
        <v>11</v>
      </c>
      <c r="B15" s="16">
        <v>44136</v>
      </c>
      <c r="C15" s="20">
        <f>IF('GA 55 Editable'!C15="","",'GA 55 Editable'!C15)</f>
        <v>45100</v>
      </c>
      <c r="D15" s="20">
        <f>IF('GA 55 Editable'!D15="","",'GA 55 Editable'!D15)</f>
        <v>7667</v>
      </c>
      <c r="E15" s="20">
        <f>IF('GA 55 Editable'!E15="","",'GA 55 Editable'!E15)</f>
        <v>3608</v>
      </c>
      <c r="F15" s="20">
        <f>IF('GA 55 Editable'!F15="","",'GA 55 Editable'!F15)</f>
        <v>0</v>
      </c>
      <c r="G15" s="20">
        <f>IF('GA 55 Editable'!G15="","",'GA 55 Editable'!G15)</f>
        <v>0</v>
      </c>
      <c r="H15" s="20">
        <f>IF('GA 55 Editable'!H15="","",'GA 55 Editable'!H15)</f>
        <v>0</v>
      </c>
      <c r="I15" s="20" t="str">
        <f>IF('GA 55 Editable'!I15="","",'GA 55 Editable'!I15)</f>
        <v/>
      </c>
      <c r="J15" s="20">
        <f>IF('GA 55 Editable'!J15="","",'GA 55 Editable'!J15)</f>
        <v>56375</v>
      </c>
      <c r="K15" s="20">
        <f>IF('GA 55 Editable'!K15="","",'GA 55 Editable'!K15)</f>
        <v>3000</v>
      </c>
      <c r="L15" s="20">
        <f>IF('GA 55 Editable'!L15="","",'GA 55 Editable'!L15)</f>
        <v>0</v>
      </c>
      <c r="M15" s="20">
        <f>IF('GA 55 Editable'!M15="","",'GA 55 Editable'!M15)</f>
        <v>5277</v>
      </c>
      <c r="N15" s="20">
        <f>IF('GA 55 Editable'!N15="","",'GA 55 Editable'!N15)</f>
        <v>0</v>
      </c>
      <c r="O15" s="20">
        <f>IF('GA 55 Editable'!O15="","",'GA 55 Editable'!O15)</f>
        <v>0</v>
      </c>
      <c r="P15" s="20" t="str">
        <f>IF('GA 55 Editable'!P15="","",'GA 55 Editable'!P15)</f>
        <v/>
      </c>
      <c r="Q15" s="20">
        <f>IF('GA 55 Editable'!Q15="","",'GA 55 Editable'!Q15)</f>
        <v>0</v>
      </c>
      <c r="R15" s="20" t="str">
        <f>IF('GA 55 Editable'!R15="","",'GA 55 Editable'!R15)</f>
        <v/>
      </c>
      <c r="S15" s="20">
        <f>IF('GA 55 Editable'!S15="","",'GA 55 Editable'!S15)</f>
        <v>0</v>
      </c>
      <c r="T15" s="20">
        <f>IF('GA 55 Editable'!T15="","",'GA 55 Editable'!T15)</f>
        <v>0</v>
      </c>
      <c r="U15" s="20" t="str">
        <f>IF('GA 55 Editable'!U15="","",'GA 55 Editable'!U15)</f>
        <v/>
      </c>
      <c r="V15" s="20" t="str">
        <f>IF('GA 55 Editable'!V15="","",'GA 55 Editable'!V15)</f>
        <v/>
      </c>
      <c r="W15" s="20" t="str">
        <f>IF('GA 55 Editable'!W15="","",'GA 55 Editable'!W15)</f>
        <v/>
      </c>
      <c r="X15" s="20" t="str">
        <f>IF('GA 55 Editable'!X15="","",'GA 55 Editable'!X15)</f>
        <v/>
      </c>
      <c r="Y15" s="20">
        <f>IF('GA 55 Editable'!Y15="","",'GA 55 Editable'!Y15)</f>
        <v>8277</v>
      </c>
      <c r="Z15" s="20">
        <f>IF('GA 55 Editable'!Z15="","",'GA 55 Editable'!Z15)</f>
        <v>48098</v>
      </c>
      <c r="AA15" s="20" t="str">
        <f>IF('GA 55 Editable'!AA15="","",'GA 55 Editable'!AA15)</f>
        <v/>
      </c>
    </row>
    <row r="16" spans="1:27" ht="21.95" customHeight="1" x14ac:dyDescent="0.25">
      <c r="A16" s="58">
        <v>12</v>
      </c>
      <c r="B16" s="16">
        <v>44166</v>
      </c>
      <c r="C16" s="20">
        <f>IF('GA 55 Editable'!C16="","",'GA 55 Editable'!C16)</f>
        <v>45100</v>
      </c>
      <c r="D16" s="20">
        <f>IF('GA 55 Editable'!D16="","",'GA 55 Editable'!D16)</f>
        <v>7667</v>
      </c>
      <c r="E16" s="20">
        <f>IF('GA 55 Editable'!E16="","",'GA 55 Editable'!E16)</f>
        <v>3608</v>
      </c>
      <c r="F16" s="20">
        <f>IF('GA 55 Editable'!F16="","",'GA 55 Editable'!F16)</f>
        <v>0</v>
      </c>
      <c r="G16" s="20">
        <f>IF('GA 55 Editable'!G16="","",'GA 55 Editable'!G16)</f>
        <v>0</v>
      </c>
      <c r="H16" s="20">
        <f>IF('GA 55 Editable'!H16="","",'GA 55 Editable'!H16)</f>
        <v>0</v>
      </c>
      <c r="I16" s="20" t="str">
        <f>IF('GA 55 Editable'!I16="","",'GA 55 Editable'!I16)</f>
        <v/>
      </c>
      <c r="J16" s="20">
        <f>IF('GA 55 Editable'!J16="","",'GA 55 Editable'!J16)</f>
        <v>56375</v>
      </c>
      <c r="K16" s="20">
        <f>IF('GA 55 Editable'!K16="","",'GA 55 Editable'!K16)</f>
        <v>3000</v>
      </c>
      <c r="L16" s="20">
        <f>IF('GA 55 Editable'!L16="","",'GA 55 Editable'!L16)</f>
        <v>0</v>
      </c>
      <c r="M16" s="20">
        <f>IF('GA 55 Editable'!M16="","",'GA 55 Editable'!M16)</f>
        <v>5277</v>
      </c>
      <c r="N16" s="20">
        <f>IF('GA 55 Editable'!N16="","",'GA 55 Editable'!N16)</f>
        <v>0</v>
      </c>
      <c r="O16" s="20">
        <f>IF('GA 55 Editable'!O16="","",'GA 55 Editable'!O16)</f>
        <v>0</v>
      </c>
      <c r="P16" s="20" t="str">
        <f>IF('GA 55 Editable'!P16="","",'GA 55 Editable'!P16)</f>
        <v/>
      </c>
      <c r="Q16" s="20">
        <f>IF('GA 55 Editable'!Q16="","",'GA 55 Editable'!Q16)</f>
        <v>0</v>
      </c>
      <c r="R16" s="20" t="str">
        <f>IF('GA 55 Editable'!R16="","",'GA 55 Editable'!R16)</f>
        <v/>
      </c>
      <c r="S16" s="20">
        <f>IF('GA 55 Editable'!S16="","",'GA 55 Editable'!S16)</f>
        <v>0</v>
      </c>
      <c r="T16" s="20">
        <f>IF('GA 55 Editable'!T16="","",'GA 55 Editable'!T16)</f>
        <v>0</v>
      </c>
      <c r="U16" s="20" t="str">
        <f>IF('GA 55 Editable'!U16="","",'GA 55 Editable'!U16)</f>
        <v/>
      </c>
      <c r="V16" s="20">
        <f>IF('GA 55 Editable'!V16="","",'GA 55 Editable'!V16)</f>
        <v>250</v>
      </c>
      <c r="W16" s="20" t="str">
        <f>IF('GA 55 Editable'!W16="","",'GA 55 Editable'!W16)</f>
        <v/>
      </c>
      <c r="X16" s="20" t="str">
        <f>IF('GA 55 Editable'!X16="","",'GA 55 Editable'!X16)</f>
        <v/>
      </c>
      <c r="Y16" s="20">
        <f>IF('GA 55 Editable'!Y16="","",'GA 55 Editable'!Y16)</f>
        <v>8527</v>
      </c>
      <c r="Z16" s="20">
        <f>IF('GA 55 Editable'!Z16="","",'GA 55 Editable'!Z16)</f>
        <v>47848</v>
      </c>
      <c r="AA16" s="20" t="str">
        <f>IF('GA 55 Editable'!AA16="","",'GA 55 Editable'!AA16)</f>
        <v/>
      </c>
    </row>
    <row r="17" spans="1:27" ht="21.95" customHeight="1" x14ac:dyDescent="0.25">
      <c r="A17" s="58">
        <v>1</v>
      </c>
      <c r="B17" s="16">
        <v>44197</v>
      </c>
      <c r="C17" s="20">
        <f>IF('GA 55 Editable'!C17="","",'GA 55 Editable'!C17)</f>
        <v>45100</v>
      </c>
      <c r="D17" s="20">
        <f>IF('GA 55 Editable'!D17="","",'GA 55 Editable'!D17)</f>
        <v>7667</v>
      </c>
      <c r="E17" s="20">
        <f>IF('GA 55 Editable'!E17="","",'GA 55 Editable'!E17)</f>
        <v>3608</v>
      </c>
      <c r="F17" s="20">
        <f>IF('GA 55 Editable'!F17="","",'GA 55 Editable'!F17)</f>
        <v>0</v>
      </c>
      <c r="G17" s="20">
        <f>IF('GA 55 Editable'!G17="","",'GA 55 Editable'!G17)</f>
        <v>0</v>
      </c>
      <c r="H17" s="20">
        <f>IF('GA 55 Editable'!H17="","",'GA 55 Editable'!H17)</f>
        <v>0</v>
      </c>
      <c r="I17" s="20" t="str">
        <f>IF('GA 55 Editable'!I17="","",'GA 55 Editable'!I17)</f>
        <v/>
      </c>
      <c r="J17" s="20">
        <f>IF('GA 55 Editable'!J17="","",'GA 55 Editable'!J17)</f>
        <v>56375</v>
      </c>
      <c r="K17" s="20">
        <f>IF('GA 55 Editable'!K17="","",'GA 55 Editable'!K17)</f>
        <v>3000</v>
      </c>
      <c r="L17" s="20">
        <f>IF('GA 55 Editable'!L17="","",'GA 55 Editable'!L17)</f>
        <v>0</v>
      </c>
      <c r="M17" s="20">
        <f>IF('GA 55 Editable'!M17="","",'GA 55 Editable'!M17)</f>
        <v>5277</v>
      </c>
      <c r="N17" s="20">
        <f>IF('GA 55 Editable'!N17="","",'GA 55 Editable'!N17)</f>
        <v>0</v>
      </c>
      <c r="O17" s="20">
        <f>IF('GA 55 Editable'!O17="","",'GA 55 Editable'!O17)</f>
        <v>0</v>
      </c>
      <c r="P17" s="20" t="str">
        <f>IF('GA 55 Editable'!P17="","",'GA 55 Editable'!P17)</f>
        <v/>
      </c>
      <c r="Q17" s="20">
        <f>IF('GA 55 Editable'!Q17="","",'GA 55 Editable'!Q17)</f>
        <v>0</v>
      </c>
      <c r="R17" s="20" t="str">
        <f>IF('GA 55 Editable'!R17="","",'GA 55 Editable'!R17)</f>
        <v/>
      </c>
      <c r="S17" s="20">
        <f>IF('GA 55 Editable'!S17="","",'GA 55 Editable'!S17)</f>
        <v>0</v>
      </c>
      <c r="T17" s="20">
        <f>IF('GA 55 Editable'!T17="","",'GA 55 Editable'!T17)</f>
        <v>0</v>
      </c>
      <c r="U17" s="20" t="str">
        <f>IF('GA 55 Editable'!U17="","",'GA 55 Editable'!U17)</f>
        <v/>
      </c>
      <c r="V17" s="20" t="str">
        <f>IF('GA 55 Editable'!V17="","",'GA 55 Editable'!V17)</f>
        <v/>
      </c>
      <c r="W17" s="20" t="str">
        <f>IF('GA 55 Editable'!W17="","",'GA 55 Editable'!W17)</f>
        <v/>
      </c>
      <c r="X17" s="20" t="str">
        <f>IF('GA 55 Editable'!X17="","",'GA 55 Editable'!X17)</f>
        <v/>
      </c>
      <c r="Y17" s="20">
        <f>IF('GA 55 Editable'!Y17="","",'GA 55 Editable'!Y17)</f>
        <v>8277</v>
      </c>
      <c r="Z17" s="20">
        <f>IF('GA 55 Editable'!Z17="","",'GA 55 Editable'!Z17)</f>
        <v>48098</v>
      </c>
      <c r="AA17" s="20" t="str">
        <f>IF('GA 55 Editable'!AA17="","",'GA 55 Editable'!AA17)</f>
        <v/>
      </c>
    </row>
    <row r="18" spans="1:27" ht="21.95" customHeight="1" x14ac:dyDescent="0.25">
      <c r="A18" s="58">
        <v>2</v>
      </c>
      <c r="B18" s="16">
        <v>44228</v>
      </c>
      <c r="C18" s="20">
        <f>IF('GA 55 Editable'!C18="","",'GA 55 Editable'!C18)</f>
        <v>45100</v>
      </c>
      <c r="D18" s="20">
        <f>IF('GA 55 Editable'!D18="","",'GA 55 Editable'!D18)</f>
        <v>7667</v>
      </c>
      <c r="E18" s="20">
        <f>IF('GA 55 Editable'!E18="","",'GA 55 Editable'!E18)</f>
        <v>3608</v>
      </c>
      <c r="F18" s="20">
        <f>IF('GA 55 Editable'!F18="","",'GA 55 Editable'!F18)</f>
        <v>0</v>
      </c>
      <c r="G18" s="20">
        <f>IF('GA 55 Editable'!G18="","",'GA 55 Editable'!G18)</f>
        <v>0</v>
      </c>
      <c r="H18" s="20">
        <f>IF('GA 55 Editable'!H18="","",'GA 55 Editable'!H18)</f>
        <v>0</v>
      </c>
      <c r="I18" s="20" t="str">
        <f>IF('GA 55 Editable'!I18="","",'GA 55 Editable'!I18)</f>
        <v/>
      </c>
      <c r="J18" s="20">
        <f>IF('GA 55 Editable'!J18="","",'GA 55 Editable'!J18)</f>
        <v>56375</v>
      </c>
      <c r="K18" s="20">
        <f>IF('GA 55 Editable'!K18="","",'GA 55 Editable'!K18)</f>
        <v>3000</v>
      </c>
      <c r="L18" s="20">
        <f>IF('GA 55 Editable'!L18="","",'GA 55 Editable'!L18)</f>
        <v>0</v>
      </c>
      <c r="M18" s="20">
        <f>IF('GA 55 Editable'!M18="","",'GA 55 Editable'!M18)</f>
        <v>5277</v>
      </c>
      <c r="N18" s="20">
        <f>IF('GA 55 Editable'!N18="","",'GA 55 Editable'!N18)</f>
        <v>0</v>
      </c>
      <c r="O18" s="20">
        <f>IF('GA 55 Editable'!O18="","",'GA 55 Editable'!O18)</f>
        <v>0</v>
      </c>
      <c r="P18" s="20" t="str">
        <f>IF('GA 55 Editable'!P18="","",'GA 55 Editable'!P18)</f>
        <v/>
      </c>
      <c r="Q18" s="20">
        <f>IF('GA 55 Editable'!Q18="","",'GA 55 Editable'!Q18)</f>
        <v>0</v>
      </c>
      <c r="R18" s="20" t="str">
        <f>IF('GA 55 Editable'!R18="","",'GA 55 Editable'!R18)</f>
        <v/>
      </c>
      <c r="S18" s="20">
        <f>IF('GA 55 Editable'!S18="","",'GA 55 Editable'!S18)</f>
        <v>0</v>
      </c>
      <c r="T18" s="20">
        <f>IF('GA 55 Editable'!T18="","",'GA 55 Editable'!T18)</f>
        <v>0</v>
      </c>
      <c r="U18" s="20" t="str">
        <f>IF('GA 55 Editable'!U18="","",'GA 55 Editable'!U18)</f>
        <v/>
      </c>
      <c r="V18" s="20" t="str">
        <f>IF('GA 55 Editable'!V18="","",'GA 55 Editable'!V18)</f>
        <v/>
      </c>
      <c r="W18" s="20" t="str">
        <f>IF('GA 55 Editable'!W18="","",'GA 55 Editable'!W18)</f>
        <v/>
      </c>
      <c r="X18" s="20" t="str">
        <f>IF('GA 55 Editable'!X18="","",'GA 55 Editable'!X18)</f>
        <v/>
      </c>
      <c r="Y18" s="20">
        <f>IF('GA 55 Editable'!Y18="","",'GA 55 Editable'!Y18)</f>
        <v>8277</v>
      </c>
      <c r="Z18" s="20">
        <f>IF('GA 55 Editable'!Z18="","",'GA 55 Editable'!Z18)</f>
        <v>48098</v>
      </c>
      <c r="AA18" s="20" t="str">
        <f>IF('GA 55 Editable'!AA18="","",'GA 55 Editable'!AA18)</f>
        <v/>
      </c>
    </row>
    <row r="19" spans="1:27" ht="30" x14ac:dyDescent="0.25">
      <c r="B19" s="17" t="s">
        <v>62</v>
      </c>
      <c r="C19" s="20" t="str">
        <f>IF('GA 55 Editable'!C19="","",'GA 55 Editable'!C19)</f>
        <v/>
      </c>
      <c r="D19" s="20">
        <f>IF('GA 55 Editable'!D19="","",'GA 55 Editable'!D19)</f>
        <v>13140</v>
      </c>
      <c r="E19" s="20" t="str">
        <f>IF('GA 55 Editable'!E19="","",'GA 55 Editable'!E19)</f>
        <v/>
      </c>
      <c r="F19" s="20" t="str">
        <f>IF('GA 55 Editable'!F19="","",'GA 55 Editable'!F19)</f>
        <v/>
      </c>
      <c r="G19" s="20" t="str">
        <f>IF('GA 55 Editable'!G19="","",'GA 55 Editable'!G19)</f>
        <v/>
      </c>
      <c r="H19" s="20" t="str">
        <f>IF('GA 55 Editable'!H19="","",'GA 55 Editable'!H19)</f>
        <v/>
      </c>
      <c r="I19" s="20" t="str">
        <f>IF('GA 55 Editable'!I19="","",'GA 55 Editable'!I19)</f>
        <v/>
      </c>
      <c r="J19" s="20">
        <f>IF('GA 55 Editable'!J19="","",'GA 55 Editable'!J19)</f>
        <v>13140</v>
      </c>
      <c r="K19" s="20" t="str">
        <f>IF('GA 55 Editable'!K19="","",'GA 55 Editable'!K19)</f>
        <v/>
      </c>
      <c r="L19" s="20">
        <f>IF('GA 55 Editable'!L19="","",'GA 55 Editable'!L19)</f>
        <v>0</v>
      </c>
      <c r="M19" s="20">
        <f>IF('GA 55 Editable'!M19="","",'GA 55 Editable'!M19)</f>
        <v>1314</v>
      </c>
      <c r="N19" s="20" t="str">
        <f>IF('GA 55 Editable'!N19="","",'GA 55 Editable'!N19)</f>
        <v/>
      </c>
      <c r="O19" s="20" t="str">
        <f>IF('GA 55 Editable'!O19="","",'GA 55 Editable'!O19)</f>
        <v/>
      </c>
      <c r="P19" s="20" t="str">
        <f>IF('GA 55 Editable'!P19="","",'GA 55 Editable'!P19)</f>
        <v/>
      </c>
      <c r="Q19" s="20" t="str">
        <f>IF('GA 55 Editable'!Q19="","",'GA 55 Editable'!Q19)</f>
        <v/>
      </c>
      <c r="R19" s="20" t="str">
        <f>IF('GA 55 Editable'!R19="","",'GA 55 Editable'!R19)</f>
        <v/>
      </c>
      <c r="S19" s="20" t="str">
        <f>IF('GA 55 Editable'!S19="","",'GA 55 Editable'!S19)</f>
        <v/>
      </c>
      <c r="T19" s="20" t="str">
        <f>IF('GA 55 Editable'!T19="","",'GA 55 Editable'!T19)</f>
        <v/>
      </c>
      <c r="U19" s="20" t="str">
        <f>IF('GA 55 Editable'!U19="","",'GA 55 Editable'!U19)</f>
        <v/>
      </c>
      <c r="V19" s="20" t="str">
        <f>IF('GA 55 Editable'!V19="","",'GA 55 Editable'!V19)</f>
        <v/>
      </c>
      <c r="W19" s="20" t="str">
        <f>IF('GA 55 Editable'!W19="","",'GA 55 Editable'!W19)</f>
        <v/>
      </c>
      <c r="X19" s="20" t="str">
        <f>IF('GA 55 Editable'!X19="","",'GA 55 Editable'!X19)</f>
        <v/>
      </c>
      <c r="Y19" s="20">
        <f>IF('GA 55 Editable'!Y19="","",'GA 55 Editable'!Y19)</f>
        <v>1314</v>
      </c>
      <c r="Z19" s="20">
        <f>IF('GA 55 Editable'!Z19="","",'GA 55 Editable'!Z19)</f>
        <v>11826</v>
      </c>
      <c r="AA19" s="20" t="str">
        <f>IF('GA 55 Editable'!AA19="","",'GA 55 Editable'!AA19)</f>
        <v/>
      </c>
    </row>
    <row r="20" spans="1:27" ht="30" x14ac:dyDescent="0.25">
      <c r="B20" s="17" t="s">
        <v>63</v>
      </c>
      <c r="C20" s="20" t="str">
        <f>IF('GA 55 Editable'!C20="","",'GA 55 Editable'!C20)</f>
        <v/>
      </c>
      <c r="D20" s="20">
        <f>IF('GA 55 Editable'!D20="","",'GA 55 Editable'!D20)</f>
        <v>4380</v>
      </c>
      <c r="E20" s="20" t="str">
        <f>IF('GA 55 Editable'!E20="","",'GA 55 Editable'!E20)</f>
        <v/>
      </c>
      <c r="F20" s="20" t="str">
        <f>IF('GA 55 Editable'!F20="","",'GA 55 Editable'!F20)</f>
        <v/>
      </c>
      <c r="G20" s="20" t="str">
        <f>IF('GA 55 Editable'!G20="","",'GA 55 Editable'!G20)</f>
        <v/>
      </c>
      <c r="H20" s="20" t="str">
        <f>IF('GA 55 Editable'!H20="","",'GA 55 Editable'!H20)</f>
        <v/>
      </c>
      <c r="I20" s="20" t="str">
        <f>IF('GA 55 Editable'!I20="","",'GA 55 Editable'!I20)</f>
        <v/>
      </c>
      <c r="J20" s="20">
        <f>IF('GA 55 Editable'!J20="","",'GA 55 Editable'!J20)</f>
        <v>4380</v>
      </c>
      <c r="K20" s="20" t="str">
        <f>IF('GA 55 Editable'!K20="","",'GA 55 Editable'!K20)</f>
        <v/>
      </c>
      <c r="L20" s="20">
        <f>IF('GA 55 Editable'!L20="","",'GA 55 Editable'!L20)</f>
        <v>0</v>
      </c>
      <c r="M20" s="20">
        <f>IF('GA 55 Editable'!M20="","",'GA 55 Editable'!M20)</f>
        <v>438</v>
      </c>
      <c r="N20" s="20" t="str">
        <f>IF('GA 55 Editable'!N20="","",'GA 55 Editable'!N20)</f>
        <v/>
      </c>
      <c r="O20" s="20" t="str">
        <f>IF('GA 55 Editable'!O20="","",'GA 55 Editable'!O20)</f>
        <v/>
      </c>
      <c r="P20" s="20" t="str">
        <f>IF('GA 55 Editable'!P20="","",'GA 55 Editable'!P20)</f>
        <v/>
      </c>
      <c r="Q20" s="20" t="str">
        <f>IF('GA 55 Editable'!Q20="","",'GA 55 Editable'!Q20)</f>
        <v/>
      </c>
      <c r="R20" s="20" t="str">
        <f>IF('GA 55 Editable'!R20="","",'GA 55 Editable'!R20)</f>
        <v/>
      </c>
      <c r="S20" s="20" t="str">
        <f>IF('GA 55 Editable'!S20="","",'GA 55 Editable'!S20)</f>
        <v/>
      </c>
      <c r="T20" s="20" t="str">
        <f>IF('GA 55 Editable'!T20="","",'GA 55 Editable'!T20)</f>
        <v/>
      </c>
      <c r="U20" s="20" t="str">
        <f>IF('GA 55 Editable'!U20="","",'GA 55 Editable'!U20)</f>
        <v/>
      </c>
      <c r="V20" s="20" t="str">
        <f>IF('GA 55 Editable'!V20="","",'GA 55 Editable'!V20)</f>
        <v/>
      </c>
      <c r="W20" s="20" t="str">
        <f>IF('GA 55 Editable'!W20="","",'GA 55 Editable'!W20)</f>
        <v/>
      </c>
      <c r="X20" s="20" t="str">
        <f>IF('GA 55 Editable'!X20="","",'GA 55 Editable'!X20)</f>
        <v/>
      </c>
      <c r="Y20" s="20">
        <f>IF('GA 55 Editable'!Y20="","",'GA 55 Editable'!Y20)</f>
        <v>438</v>
      </c>
      <c r="Z20" s="20">
        <f>IF('GA 55 Editable'!Z20="","",'GA 55 Editable'!Z20)</f>
        <v>3942</v>
      </c>
      <c r="AA20" s="20" t="str">
        <f>IF('GA 55 Editable'!AA20="","",'GA 55 Editable'!AA20)</f>
        <v/>
      </c>
    </row>
    <row r="21" spans="1:27" ht="21.95" customHeight="1" x14ac:dyDescent="0.25">
      <c r="B21" s="18" t="s">
        <v>64</v>
      </c>
      <c r="C21" s="20">
        <f>IF('GA 55 Editable'!C21="","",'GA 55 Editable'!C21)</f>
        <v>6774</v>
      </c>
      <c r="D21" s="20" t="str">
        <f>IF('GA 55 Editable'!D21="","",'GA 55 Editable'!D21)</f>
        <v/>
      </c>
      <c r="E21" s="20" t="str">
        <f>IF('GA 55 Editable'!E21="","",'GA 55 Editable'!E21)</f>
        <v/>
      </c>
      <c r="F21" s="20" t="str">
        <f>IF('GA 55 Editable'!F21="","",'GA 55 Editable'!F21)</f>
        <v/>
      </c>
      <c r="G21" s="20" t="str">
        <f>IF('GA 55 Editable'!G21="","",'GA 55 Editable'!G21)</f>
        <v/>
      </c>
      <c r="H21" s="20" t="str">
        <f>IF('GA 55 Editable'!H21="","",'GA 55 Editable'!H21)</f>
        <v/>
      </c>
      <c r="I21" s="20" t="str">
        <f>IF('GA 55 Editable'!I21="","",'GA 55 Editable'!I21)</f>
        <v/>
      </c>
      <c r="J21" s="20">
        <f>IF('GA 55 Editable'!J21="","",'GA 55 Editable'!J21)</f>
        <v>6774</v>
      </c>
      <c r="K21" s="20" t="str">
        <f>IF('GA 55 Editable'!K21="","",'GA 55 Editable'!K21)</f>
        <v/>
      </c>
      <c r="L21" s="20">
        <f>IF('GA 55 Editable'!L21="","",'GA 55 Editable'!L21)</f>
        <v>0</v>
      </c>
      <c r="M21" s="20" t="str">
        <f>IF('GA 55 Editable'!M21="","",'GA 55 Editable'!M21)</f>
        <v/>
      </c>
      <c r="N21" s="20" t="str">
        <f>IF('GA 55 Editable'!N21="","",'GA 55 Editable'!N21)</f>
        <v/>
      </c>
      <c r="O21" s="20" t="str">
        <f>IF('GA 55 Editable'!O21="","",'GA 55 Editable'!O21)</f>
        <v/>
      </c>
      <c r="P21" s="20" t="str">
        <f>IF('GA 55 Editable'!P21="","",'GA 55 Editable'!P21)</f>
        <v/>
      </c>
      <c r="Q21" s="20" t="str">
        <f>IF('GA 55 Editable'!Q21="","",'GA 55 Editable'!Q21)</f>
        <v/>
      </c>
      <c r="R21" s="20" t="str">
        <f>IF('GA 55 Editable'!R21="","",'GA 55 Editable'!R21)</f>
        <v/>
      </c>
      <c r="S21" s="20" t="str">
        <f>IF('GA 55 Editable'!S21="","",'GA 55 Editable'!S21)</f>
        <v/>
      </c>
      <c r="T21" s="20" t="str">
        <f>IF('GA 55 Editable'!T21="","",'GA 55 Editable'!T21)</f>
        <v/>
      </c>
      <c r="U21" s="20">
        <f>IF('GA 55 Editable'!U21="","",'GA 55 Editable'!U21)</f>
        <v>5081</v>
      </c>
      <c r="V21" s="20" t="str">
        <f>IF('GA 55 Editable'!V21="","",'GA 55 Editable'!V21)</f>
        <v/>
      </c>
      <c r="W21" s="20" t="str">
        <f>IF('GA 55 Editable'!W21="","",'GA 55 Editable'!W21)</f>
        <v/>
      </c>
      <c r="X21" s="20" t="str">
        <f>IF('GA 55 Editable'!X21="","",'GA 55 Editable'!X21)</f>
        <v/>
      </c>
      <c r="Y21" s="20">
        <f>IF('GA 55 Editable'!Y21="","",'GA 55 Editable'!Y21)</f>
        <v>5081</v>
      </c>
      <c r="Z21" s="20">
        <f>IF('GA 55 Editable'!Z21="","",'GA 55 Editable'!Z21)</f>
        <v>1693</v>
      </c>
      <c r="AA21" s="20" t="str">
        <f>IF('GA 55 Editable'!AA21="","",'GA 55 Editable'!AA21)</f>
        <v/>
      </c>
    </row>
    <row r="22" spans="1:27" ht="21.95" customHeight="1" x14ac:dyDescent="0.25">
      <c r="B22" s="18" t="s">
        <v>65</v>
      </c>
      <c r="C22" s="20">
        <f>IF('GA 55 Editable'!C22="","",'GA 55 Editable'!C22)</f>
        <v>0</v>
      </c>
      <c r="D22" s="20">
        <f>IF('GA 55 Editable'!D22="","",'GA 55 Editable'!D22)</f>
        <v>0</v>
      </c>
      <c r="E22" s="20" t="str">
        <f>IF('GA 55 Editable'!E22="","",'GA 55 Editable'!E22)</f>
        <v/>
      </c>
      <c r="F22" s="20" t="str">
        <f>IF('GA 55 Editable'!F22="","",'GA 55 Editable'!F22)</f>
        <v/>
      </c>
      <c r="G22" s="20" t="str">
        <f>IF('GA 55 Editable'!G22="","",'GA 55 Editable'!G22)</f>
        <v/>
      </c>
      <c r="H22" s="20" t="str">
        <f>IF('GA 55 Editable'!H22="","",'GA 55 Editable'!H22)</f>
        <v/>
      </c>
      <c r="I22" s="20" t="str">
        <f>IF('GA 55 Editable'!I22="","",'GA 55 Editable'!I22)</f>
        <v/>
      </c>
      <c r="J22" s="20">
        <f>IF('GA 55 Editable'!J22="","",'GA 55 Editable'!J22)</f>
        <v>0</v>
      </c>
      <c r="K22" s="20" t="str">
        <f>IF('GA 55 Editable'!K22="","",'GA 55 Editable'!K22)</f>
        <v/>
      </c>
      <c r="L22" s="20" t="str">
        <f>IF('GA 55 Editable'!L22="","",'GA 55 Editable'!L22)</f>
        <v/>
      </c>
      <c r="M22" s="20" t="str">
        <f>IF('GA 55 Editable'!M22="","",'GA 55 Editable'!M22)</f>
        <v/>
      </c>
      <c r="N22" s="20" t="str">
        <f>IF('GA 55 Editable'!N22="","",'GA 55 Editable'!N22)</f>
        <v/>
      </c>
      <c r="O22" s="20" t="str">
        <f>IF('GA 55 Editable'!O22="","",'GA 55 Editable'!O22)</f>
        <v/>
      </c>
      <c r="P22" s="20" t="str">
        <f>IF('GA 55 Editable'!P22="","",'GA 55 Editable'!P22)</f>
        <v/>
      </c>
      <c r="Q22" s="20" t="str">
        <f>IF('GA 55 Editable'!Q22="","",'GA 55 Editable'!Q22)</f>
        <v/>
      </c>
      <c r="R22" s="20" t="str">
        <f>IF('GA 55 Editable'!R22="","",'GA 55 Editable'!R22)</f>
        <v/>
      </c>
      <c r="S22" s="20" t="str">
        <f>IF('GA 55 Editable'!S22="","",'GA 55 Editable'!S22)</f>
        <v/>
      </c>
      <c r="T22" s="20" t="str">
        <f>IF('GA 55 Editable'!T22="","",'GA 55 Editable'!T22)</f>
        <v/>
      </c>
      <c r="U22" s="20" t="str">
        <f>IF('GA 55 Editable'!U22="","",'GA 55 Editable'!U22)</f>
        <v/>
      </c>
      <c r="V22" s="20" t="str">
        <f>IF('GA 55 Editable'!V22="","",'GA 55 Editable'!V22)</f>
        <v/>
      </c>
      <c r="W22" s="20" t="str">
        <f>IF('GA 55 Editable'!W22="","",'GA 55 Editable'!W22)</f>
        <v/>
      </c>
      <c r="X22" s="20" t="str">
        <f>IF('GA 55 Editable'!X22="","",'GA 55 Editable'!X22)</f>
        <v/>
      </c>
      <c r="Y22" s="20">
        <f>IF('GA 55 Editable'!Y22="","",'GA 55 Editable'!Y22)</f>
        <v>0</v>
      </c>
      <c r="Z22" s="20">
        <f>IF('GA 55 Editable'!Z22="","",'GA 55 Editable'!Z22)</f>
        <v>0</v>
      </c>
      <c r="AA22" s="20" t="str">
        <f>IF('GA 55 Editable'!AA22="","",'GA 55 Editable'!AA22)</f>
        <v/>
      </c>
    </row>
    <row r="23" spans="1:27" ht="30" x14ac:dyDescent="0.25">
      <c r="B23" s="17" t="s">
        <v>66</v>
      </c>
      <c r="C23" s="20" t="str">
        <f>IF('GA 55 Editable'!C23="","",'GA 55 Editable'!C23)</f>
        <v/>
      </c>
      <c r="D23" s="20">
        <f>IF('GA 55 Editable'!D23="","",'GA 55 Editable'!D23)</f>
        <v>0</v>
      </c>
      <c r="E23" s="20" t="str">
        <f>IF('GA 55 Editable'!E23="","",'GA 55 Editable'!E23)</f>
        <v/>
      </c>
      <c r="F23" s="20" t="str">
        <f>IF('GA 55 Editable'!F23="","",'GA 55 Editable'!F23)</f>
        <v/>
      </c>
      <c r="G23" s="20" t="str">
        <f>IF('GA 55 Editable'!G23="","",'GA 55 Editable'!G23)</f>
        <v/>
      </c>
      <c r="H23" s="20" t="str">
        <f>IF('GA 55 Editable'!H23="","",'GA 55 Editable'!H23)</f>
        <v/>
      </c>
      <c r="I23" s="20" t="str">
        <f>IF('GA 55 Editable'!I23="","",'GA 55 Editable'!I23)</f>
        <v/>
      </c>
      <c r="J23" s="20">
        <f>IF('GA 55 Editable'!J23="","",'GA 55 Editable'!J23)</f>
        <v>0</v>
      </c>
      <c r="K23" s="20" t="str">
        <f>IF('GA 55 Editable'!K23="","",'GA 55 Editable'!K23)</f>
        <v/>
      </c>
      <c r="L23" s="20" t="str">
        <f>IF('GA 55 Editable'!L23="","",'GA 55 Editable'!L23)</f>
        <v/>
      </c>
      <c r="M23" s="20" t="str">
        <f>IF('GA 55 Editable'!M23="","",'GA 55 Editable'!M23)</f>
        <v/>
      </c>
      <c r="N23" s="20" t="str">
        <f>IF('GA 55 Editable'!N23="","",'GA 55 Editable'!N23)</f>
        <v/>
      </c>
      <c r="O23" s="20" t="str">
        <f>IF('GA 55 Editable'!O23="","",'GA 55 Editable'!O23)</f>
        <v/>
      </c>
      <c r="P23" s="20" t="str">
        <f>IF('GA 55 Editable'!P23="","",'GA 55 Editable'!P23)</f>
        <v/>
      </c>
      <c r="Q23" s="20" t="str">
        <f>IF('GA 55 Editable'!Q23="","",'GA 55 Editable'!Q23)</f>
        <v/>
      </c>
      <c r="R23" s="20" t="str">
        <f>IF('GA 55 Editable'!R23="","",'GA 55 Editable'!R23)</f>
        <v/>
      </c>
      <c r="S23" s="20" t="str">
        <f>IF('GA 55 Editable'!S23="","",'GA 55 Editable'!S23)</f>
        <v/>
      </c>
      <c r="T23" s="20" t="str">
        <f>IF('GA 55 Editable'!T23="","",'GA 55 Editable'!T23)</f>
        <v/>
      </c>
      <c r="U23" s="20" t="str">
        <f>IF('GA 55 Editable'!U23="","",'GA 55 Editable'!U23)</f>
        <v/>
      </c>
      <c r="V23" s="20" t="str">
        <f>IF('GA 55 Editable'!V23="","",'GA 55 Editable'!V23)</f>
        <v/>
      </c>
      <c r="W23" s="20" t="str">
        <f>IF('GA 55 Editable'!W23="","",'GA 55 Editable'!W23)</f>
        <v/>
      </c>
      <c r="X23" s="20" t="str">
        <f>IF('GA 55 Editable'!X23="","",'GA 55 Editable'!X23)</f>
        <v/>
      </c>
      <c r="Y23" s="20">
        <f>IF('GA 55 Editable'!Y23="","",'GA 55 Editable'!Y23)</f>
        <v>0</v>
      </c>
      <c r="Z23" s="20">
        <f>IF('GA 55 Editable'!Z23="","",'GA 55 Editable'!Z23)</f>
        <v>0</v>
      </c>
      <c r="AA23" s="20" t="str">
        <f>IF('GA 55 Editable'!AA23="","",'GA 55 Editable'!AA23)</f>
        <v/>
      </c>
    </row>
    <row r="24" spans="1:27" ht="21.95" customHeight="1" x14ac:dyDescent="0.25">
      <c r="B24" s="18" t="s">
        <v>150</v>
      </c>
      <c r="C24" s="20" t="str">
        <f>IF('GA 55 Editable'!C24="","",'GA 55 Editable'!C24)</f>
        <v/>
      </c>
      <c r="D24" s="20">
        <f>IF('GA 55 Editable'!D24="","",'GA 55 Editable'!D24)</f>
        <v>0</v>
      </c>
      <c r="E24" s="20" t="str">
        <f>IF('GA 55 Editable'!E24="","",'GA 55 Editable'!E24)</f>
        <v/>
      </c>
      <c r="F24" s="20" t="str">
        <f>IF('GA 55 Editable'!F24="","",'GA 55 Editable'!F24)</f>
        <v/>
      </c>
      <c r="G24" s="20" t="str">
        <f>IF('GA 55 Editable'!G24="","",'GA 55 Editable'!G24)</f>
        <v/>
      </c>
      <c r="H24" s="20" t="str">
        <f>IF('GA 55 Editable'!H24="","",'GA 55 Editable'!H24)</f>
        <v/>
      </c>
      <c r="I24" s="20" t="str">
        <f>IF('GA 55 Editable'!I24="","",'GA 55 Editable'!I24)</f>
        <v/>
      </c>
      <c r="J24" s="20">
        <f>IF('GA 55 Editable'!J24="","",'GA 55 Editable'!J24)</f>
        <v>0</v>
      </c>
      <c r="K24" s="20" t="str">
        <f>IF('GA 55 Editable'!K24="","",'GA 55 Editable'!K24)</f>
        <v/>
      </c>
      <c r="L24" s="20" t="str">
        <f>IF('GA 55 Editable'!L24="","",'GA 55 Editable'!L24)</f>
        <v/>
      </c>
      <c r="M24" s="20" t="str">
        <f>IF('GA 55 Editable'!M24="","",'GA 55 Editable'!M24)</f>
        <v/>
      </c>
      <c r="N24" s="20" t="str">
        <f>IF('GA 55 Editable'!N24="","",'GA 55 Editable'!N24)</f>
        <v/>
      </c>
      <c r="O24" s="20" t="str">
        <f>IF('GA 55 Editable'!O24="","",'GA 55 Editable'!O24)</f>
        <v/>
      </c>
      <c r="P24" s="20" t="str">
        <f>IF('GA 55 Editable'!P24="","",'GA 55 Editable'!P24)</f>
        <v/>
      </c>
      <c r="Q24" s="20" t="str">
        <f>IF('GA 55 Editable'!Q24="","",'GA 55 Editable'!Q24)</f>
        <v/>
      </c>
      <c r="R24" s="20" t="str">
        <f>IF('GA 55 Editable'!R24="","",'GA 55 Editable'!R24)</f>
        <v/>
      </c>
      <c r="S24" s="20" t="str">
        <f>IF('GA 55 Editable'!S24="","",'GA 55 Editable'!S24)</f>
        <v/>
      </c>
      <c r="T24" s="20" t="str">
        <f>IF('GA 55 Editable'!T24="","",'GA 55 Editable'!T24)</f>
        <v/>
      </c>
      <c r="U24" s="20" t="str">
        <f>IF('GA 55 Editable'!U24="","",'GA 55 Editable'!U24)</f>
        <v/>
      </c>
      <c r="V24" s="20" t="str">
        <f>IF('GA 55 Editable'!V24="","",'GA 55 Editable'!V24)</f>
        <v/>
      </c>
      <c r="W24" s="20" t="str">
        <f>IF('GA 55 Editable'!W24="","",'GA 55 Editable'!W24)</f>
        <v/>
      </c>
      <c r="X24" s="20" t="str">
        <f>IF('GA 55 Editable'!X24="","",'GA 55 Editable'!X24)</f>
        <v/>
      </c>
      <c r="Y24" s="20">
        <f>IF('GA 55 Editable'!Y24="","",'GA 55 Editable'!Y24)</f>
        <v>0</v>
      </c>
      <c r="Z24" s="20">
        <f>IF('GA 55 Editable'!Z24="","",'GA 55 Editable'!Z24)</f>
        <v>0</v>
      </c>
      <c r="AA24" s="20" t="str">
        <f>IF('GA 55 Editable'!AA24="","",'GA 55 Editable'!AA24)</f>
        <v/>
      </c>
    </row>
    <row r="25" spans="1:27" ht="21.95" customHeight="1" x14ac:dyDescent="0.25">
      <c r="B25" s="18" t="s">
        <v>153</v>
      </c>
      <c r="C25" s="20" t="str">
        <f>IF('GA 55 Editable'!C25="","",'GA 55 Editable'!C25)</f>
        <v/>
      </c>
      <c r="D25" s="20">
        <f>IF('GA 55 Editable'!D25="","",'GA 55 Editable'!D25)</f>
        <v>0</v>
      </c>
      <c r="E25" s="20" t="str">
        <f>IF('GA 55 Editable'!E25="","",'GA 55 Editable'!E25)</f>
        <v/>
      </c>
      <c r="F25" s="20" t="str">
        <f>IF('GA 55 Editable'!F25="","",'GA 55 Editable'!F25)</f>
        <v/>
      </c>
      <c r="G25" s="20" t="str">
        <f>IF('GA 55 Editable'!G25="","",'GA 55 Editable'!G25)</f>
        <v/>
      </c>
      <c r="H25" s="20" t="str">
        <f>IF('GA 55 Editable'!H25="","",'GA 55 Editable'!H25)</f>
        <v/>
      </c>
      <c r="I25" s="20" t="str">
        <f>IF('GA 55 Editable'!I25="","",'GA 55 Editable'!I25)</f>
        <v/>
      </c>
      <c r="J25" s="20">
        <f>IF('GA 55 Editable'!J25="","",'GA 55 Editable'!J25)</f>
        <v>0</v>
      </c>
      <c r="K25" s="20" t="str">
        <f>IF('GA 55 Editable'!K25="","",'GA 55 Editable'!K25)</f>
        <v/>
      </c>
      <c r="L25" s="20" t="str">
        <f>IF('GA 55 Editable'!L25="","",'GA 55 Editable'!L25)</f>
        <v/>
      </c>
      <c r="M25" s="20" t="str">
        <f>IF('GA 55 Editable'!M25="","",'GA 55 Editable'!M25)</f>
        <v/>
      </c>
      <c r="N25" s="20" t="str">
        <f>IF('GA 55 Editable'!N25="","",'GA 55 Editable'!N25)</f>
        <v/>
      </c>
      <c r="O25" s="20" t="str">
        <f>IF('GA 55 Editable'!O25="","",'GA 55 Editable'!O25)</f>
        <v/>
      </c>
      <c r="P25" s="20" t="str">
        <f>IF('GA 55 Editable'!P25="","",'GA 55 Editable'!P25)</f>
        <v/>
      </c>
      <c r="Q25" s="20" t="str">
        <f>IF('GA 55 Editable'!Q25="","",'GA 55 Editable'!Q25)</f>
        <v/>
      </c>
      <c r="R25" s="20" t="str">
        <f>IF('GA 55 Editable'!R25="","",'GA 55 Editable'!R25)</f>
        <v/>
      </c>
      <c r="S25" s="20" t="str">
        <f>IF('GA 55 Editable'!S25="","",'GA 55 Editable'!S25)</f>
        <v/>
      </c>
      <c r="T25" s="20" t="str">
        <f>IF('GA 55 Editable'!T25="","",'GA 55 Editable'!T25)</f>
        <v/>
      </c>
      <c r="U25" s="20" t="str">
        <f>IF('GA 55 Editable'!U25="","",'GA 55 Editable'!U25)</f>
        <v/>
      </c>
      <c r="V25" s="20" t="str">
        <f>IF('GA 55 Editable'!V25="","",'GA 55 Editable'!V25)</f>
        <v/>
      </c>
      <c r="W25" s="20" t="str">
        <f>IF('GA 55 Editable'!W25="","",'GA 55 Editable'!W25)</f>
        <v/>
      </c>
      <c r="X25" s="20" t="str">
        <f>IF('GA 55 Editable'!X25="","",'GA 55 Editable'!X25)</f>
        <v/>
      </c>
      <c r="Y25" s="20">
        <f>IF('GA 55 Editable'!Y25="","",'GA 55 Editable'!Y25)</f>
        <v>0</v>
      </c>
      <c r="Z25" s="20">
        <f>IF('GA 55 Editable'!Z25="","",'GA 55 Editable'!Z25)</f>
        <v>0</v>
      </c>
      <c r="AA25" s="20" t="str">
        <f>IF('GA 55 Editable'!AA25="","",'GA 55 Editable'!AA25)</f>
        <v/>
      </c>
    </row>
    <row r="26" spans="1:27" ht="21.95" customHeight="1" x14ac:dyDescent="0.25">
      <c r="B26" s="18" t="s">
        <v>154</v>
      </c>
      <c r="C26" s="20" t="str">
        <f>IF('GA 55 Editable'!C26="","",'GA 55 Editable'!C26)</f>
        <v/>
      </c>
      <c r="D26" s="20">
        <f>IF('GA 55 Editable'!D26="","",'GA 55 Editable'!D26)</f>
        <v>0</v>
      </c>
      <c r="E26" s="20" t="str">
        <f>IF('GA 55 Editable'!E26="","",'GA 55 Editable'!E26)</f>
        <v/>
      </c>
      <c r="F26" s="20" t="str">
        <f>IF('GA 55 Editable'!F26="","",'GA 55 Editable'!F26)</f>
        <v/>
      </c>
      <c r="G26" s="20" t="str">
        <f>IF('GA 55 Editable'!G26="","",'GA 55 Editable'!G26)</f>
        <v/>
      </c>
      <c r="H26" s="20" t="str">
        <f>IF('GA 55 Editable'!H26="","",'GA 55 Editable'!H26)</f>
        <v/>
      </c>
      <c r="I26" s="20" t="str">
        <f>IF('GA 55 Editable'!I26="","",'GA 55 Editable'!I26)</f>
        <v/>
      </c>
      <c r="J26" s="20">
        <f>IF('GA 55 Editable'!J26="","",'GA 55 Editable'!J26)</f>
        <v>0</v>
      </c>
      <c r="K26" s="20" t="str">
        <f>IF('GA 55 Editable'!K26="","",'GA 55 Editable'!K26)</f>
        <v/>
      </c>
      <c r="L26" s="20" t="str">
        <f>IF('GA 55 Editable'!L26="","",'GA 55 Editable'!L26)</f>
        <v/>
      </c>
      <c r="M26" s="20" t="str">
        <f>IF('GA 55 Editable'!M26="","",'GA 55 Editable'!M26)</f>
        <v/>
      </c>
      <c r="N26" s="20" t="str">
        <f>IF('GA 55 Editable'!N26="","",'GA 55 Editable'!N26)</f>
        <v/>
      </c>
      <c r="O26" s="20" t="str">
        <f>IF('GA 55 Editable'!O26="","",'GA 55 Editable'!O26)</f>
        <v/>
      </c>
      <c r="P26" s="20" t="str">
        <f>IF('GA 55 Editable'!P26="","",'GA 55 Editable'!P26)</f>
        <v/>
      </c>
      <c r="Q26" s="20" t="str">
        <f>IF('GA 55 Editable'!Q26="","",'GA 55 Editable'!Q26)</f>
        <v/>
      </c>
      <c r="R26" s="20" t="str">
        <f>IF('GA 55 Editable'!R26="","",'GA 55 Editable'!R26)</f>
        <v/>
      </c>
      <c r="S26" s="20" t="str">
        <f>IF('GA 55 Editable'!S26="","",'GA 55 Editable'!S26)</f>
        <v/>
      </c>
      <c r="T26" s="20" t="str">
        <f>IF('GA 55 Editable'!T26="","",'GA 55 Editable'!T26)</f>
        <v/>
      </c>
      <c r="U26" s="20" t="str">
        <f>IF('GA 55 Editable'!U26="","",'GA 55 Editable'!U26)</f>
        <v/>
      </c>
      <c r="V26" s="20" t="str">
        <f>IF('GA 55 Editable'!V26="","",'GA 55 Editable'!V26)</f>
        <v/>
      </c>
      <c r="W26" s="20" t="str">
        <f>IF('GA 55 Editable'!W26="","",'GA 55 Editable'!W26)</f>
        <v/>
      </c>
      <c r="X26" s="20" t="str">
        <f>IF('GA 55 Editable'!X26="","",'GA 55 Editable'!X26)</f>
        <v/>
      </c>
      <c r="Y26" s="20">
        <f>IF('GA 55 Editable'!Y26="","",'GA 55 Editable'!Y26)</f>
        <v>0</v>
      </c>
      <c r="Z26" s="20">
        <f>IF('GA 55 Editable'!Z26="","",'GA 55 Editable'!Z26)</f>
        <v>0</v>
      </c>
      <c r="AA26" s="20" t="str">
        <f>IF('GA 55 Editable'!AA26="","",'GA 55 Editable'!AA26)</f>
        <v/>
      </c>
    </row>
    <row r="27" spans="1:27" ht="74.25" customHeight="1" x14ac:dyDescent="0.25">
      <c r="B27" s="19" t="s">
        <v>67</v>
      </c>
      <c r="C27" s="38">
        <f>IF('GA 55 Editable'!C27="","",'GA 55 Editable'!C27)</f>
        <v>520168</v>
      </c>
      <c r="D27" s="38">
        <f>IF('GA 55 Editable'!D27="","",'GA 55 Editable'!D27)</f>
        <v>104797</v>
      </c>
      <c r="E27" s="38">
        <f>IF('GA 55 Editable'!E27="","",'GA 55 Editable'!E27)</f>
        <v>41072</v>
      </c>
      <c r="F27" s="38">
        <f>IF('GA 55 Editable'!F27="","",'GA 55 Editable'!F27)</f>
        <v>0</v>
      </c>
      <c r="G27" s="38">
        <f>IF('GA 55 Editable'!G27="","",'GA 55 Editable'!G27)</f>
        <v>0</v>
      </c>
      <c r="H27" s="38">
        <f>IF('GA 55 Editable'!H27="","",'GA 55 Editable'!H27)</f>
        <v>0</v>
      </c>
      <c r="I27" s="38">
        <f>IF('GA 55 Editable'!I27="","",'GA 55 Editable'!I27)</f>
        <v>0</v>
      </c>
      <c r="J27" s="38">
        <f>IF('GA 55 Editable'!J27="","",'GA 55 Editable'!J27)</f>
        <v>666037</v>
      </c>
      <c r="K27" s="38">
        <f>IF('GA 55 Editable'!K27="","",'GA 55 Editable'!K27)</f>
        <v>33000</v>
      </c>
      <c r="L27" s="38">
        <f>IF('GA 55 Editable'!L27="","",'GA 55 Editable'!L27)</f>
        <v>0</v>
      </c>
      <c r="M27" s="38">
        <f>IF('GA 55 Editable'!M27="","",'GA 55 Editable'!M27)</f>
        <v>61823</v>
      </c>
      <c r="N27" s="38">
        <f>IF('GA 55 Editable'!N27="","",'GA 55 Editable'!N27)</f>
        <v>0</v>
      </c>
      <c r="O27" s="38">
        <f>IF('GA 55 Editable'!O27="","",'GA 55 Editable'!O27)</f>
        <v>0</v>
      </c>
      <c r="P27" s="38">
        <f>IF('GA 55 Editable'!P27="","",'GA 55 Editable'!P27)</f>
        <v>3000</v>
      </c>
      <c r="Q27" s="38">
        <f>IF('GA 55 Editable'!Q27="","",'GA 55 Editable'!Q27)</f>
        <v>0</v>
      </c>
      <c r="R27" s="38">
        <f>IF('GA 55 Editable'!R27="","",'GA 55 Editable'!R27)</f>
        <v>220</v>
      </c>
      <c r="S27" s="38">
        <f>IF('GA 55 Editable'!S27="","",'GA 55 Editable'!S27)</f>
        <v>0</v>
      </c>
      <c r="T27" s="38">
        <f>IF('GA 55 Editable'!T27="","",'GA 55 Editable'!T27)</f>
        <v>7937</v>
      </c>
      <c r="U27" s="38">
        <f>IF('GA 55 Editable'!U27="","",'GA 55 Editable'!U27)</f>
        <v>5081</v>
      </c>
      <c r="V27" s="38">
        <f>IF('GA 55 Editable'!V27="","",'GA 55 Editable'!V27)</f>
        <v>250</v>
      </c>
      <c r="W27" s="38">
        <f>IF('GA 55 Editable'!W27="","",'GA 55 Editable'!W27)</f>
        <v>0</v>
      </c>
      <c r="X27" s="38">
        <f>IF('GA 55 Editable'!X27="","",'GA 55 Editable'!X27)</f>
        <v>0</v>
      </c>
      <c r="Y27" s="38">
        <f>IF('GA 55 Editable'!Y27="","",'GA 55 Editable'!Y27)</f>
        <v>111311</v>
      </c>
      <c r="Z27" s="38">
        <f>IF('GA 55 Editable'!Z27="","",'GA 55 Editable'!Z27)</f>
        <v>554726</v>
      </c>
      <c r="AA27" s="38" t="str">
        <f>IF('GA 55 Editable'!AA27="","",'GA 55 Editable'!AA27)</f>
        <v/>
      </c>
    </row>
    <row r="28" spans="1:27" x14ac:dyDescent="0.25"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</row>
    <row r="29" spans="1:27" x14ac:dyDescent="0.25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spans="1:27" x14ac:dyDescent="0.25">
      <c r="B30" s="95" t="s">
        <v>68</v>
      </c>
      <c r="C30" s="95"/>
      <c r="D30" s="95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95" t="s">
        <v>69</v>
      </c>
      <c r="Z30" s="95"/>
      <c r="AA30" s="10"/>
    </row>
  </sheetData>
  <sheetProtection password="CE26" sheet="1" objects="1" scenarios="1" formatCells="0" formatColumns="0" formatRows="0" insertColumns="0"/>
  <mergeCells count="19">
    <mergeCell ref="B30:D30"/>
    <mergeCell ref="Y30:Z30"/>
    <mergeCell ref="Z4:AA4"/>
    <mergeCell ref="B1:AA1"/>
    <mergeCell ref="C5:F5"/>
    <mergeCell ref="H5:J5"/>
    <mergeCell ref="L5:M5"/>
    <mergeCell ref="N5:O5"/>
    <mergeCell ref="P5:S5"/>
    <mergeCell ref="T5:V5"/>
    <mergeCell ref="B2:Z2"/>
    <mergeCell ref="C4:F4"/>
    <mergeCell ref="H4:J4"/>
    <mergeCell ref="L4:M4"/>
    <mergeCell ref="N4:O4"/>
    <mergeCell ref="P4:S4"/>
    <mergeCell ref="T4:V4"/>
    <mergeCell ref="W4:X4"/>
    <mergeCell ref="W5:Z5"/>
  </mergeCells>
  <conditionalFormatting sqref="C7:AA27">
    <cfRule type="cellIs" dxfId="12" priority="1" stopIfTrue="1" operator="equal">
      <formula>0</formula>
    </cfRule>
  </conditionalFormatting>
  <printOptions horizontalCentered="1"/>
  <pageMargins left="0.39370078740157483" right="0.39370078740157483" top="0.39370078740157483" bottom="0.39370078740157483" header="0" footer="0"/>
  <pageSetup paperSize="9" scale="74" orientation="landscape" verticalDpi="0" r:id="rId1"/>
  <headerFooter>
    <oddFooter>&amp;Cwww.ashwinisharma.com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6"/>
  <sheetViews>
    <sheetView view="pageBreakPreview" topLeftCell="B1" zoomScale="130" zoomScaleNormal="115" zoomScaleSheetLayoutView="130" workbookViewId="0">
      <selection sqref="A1:M1"/>
    </sheetView>
  </sheetViews>
  <sheetFormatPr defaultRowHeight="15" customHeight="1" x14ac:dyDescent="0.25"/>
  <cols>
    <col min="1" max="1" width="6.28515625" style="21" customWidth="1"/>
    <col min="2" max="2" width="5.85546875" style="21" customWidth="1"/>
    <col min="3" max="3" width="8.42578125" style="21" customWidth="1"/>
    <col min="4" max="4" width="7" style="21" customWidth="1"/>
    <col min="5" max="5" width="9.7109375" style="21" customWidth="1"/>
    <col min="6" max="6" width="6.140625" style="21" customWidth="1"/>
    <col min="7" max="7" width="9.5703125" style="21" customWidth="1"/>
    <col min="8" max="8" width="5.42578125" style="21" customWidth="1"/>
    <col min="9" max="9" width="8.5703125" style="21" customWidth="1"/>
    <col min="10" max="10" width="8" style="21" customWidth="1"/>
    <col min="11" max="12" width="14.7109375" style="21" customWidth="1"/>
    <col min="13" max="13" width="13.7109375" style="21" customWidth="1"/>
    <col min="14" max="14" width="9.140625" style="21" hidden="1" customWidth="1"/>
    <col min="15" max="15" width="11.85546875" style="21" hidden="1" customWidth="1"/>
    <col min="16" max="16" width="9.140625" style="21" hidden="1" customWidth="1"/>
    <col min="17" max="16384" width="9.140625" style="21"/>
  </cols>
  <sheetData>
    <row r="1" spans="1:16" ht="21" customHeight="1" x14ac:dyDescent="0.25">
      <c r="A1" s="110" t="str">
        <f>Master!A1</f>
        <v>कार्यालय प्रधानाचार्य राजकीय उच्च माध्यमिक विद्यालय, रूपपुरा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2"/>
    </row>
    <row r="2" spans="1:16" ht="20.25" customHeight="1" x14ac:dyDescent="0.25">
      <c r="A2" s="113" t="s">
        <v>155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5"/>
    </row>
    <row r="3" spans="1:16" ht="15" customHeight="1" x14ac:dyDescent="0.25">
      <c r="A3" s="22">
        <v>1</v>
      </c>
      <c r="B3" s="116" t="s">
        <v>156</v>
      </c>
      <c r="C3" s="117"/>
      <c r="D3" s="118" t="str">
        <f>IF(Master!B4="","",Master!B4)</f>
        <v>Ashwini Kumar Sharma</v>
      </c>
      <c r="E3" s="119"/>
      <c r="F3" s="119"/>
      <c r="G3" s="119"/>
      <c r="H3" s="120"/>
      <c r="I3" s="26" t="s">
        <v>157</v>
      </c>
      <c r="J3" s="121" t="str">
        <f>IF(Master!D4="","",Master!D4)</f>
        <v>वरिष्ठ अध्यापक</v>
      </c>
      <c r="K3" s="122"/>
      <c r="L3" s="26" t="s">
        <v>158</v>
      </c>
      <c r="M3" s="23" t="str">
        <f>IF(Master!B6="","",Master!B6)</f>
        <v>AAAA9456A</v>
      </c>
    </row>
    <row r="4" spans="1:16" ht="15" customHeight="1" x14ac:dyDescent="0.25">
      <c r="A4" s="22">
        <v>2</v>
      </c>
      <c r="B4" s="116" t="s">
        <v>159</v>
      </c>
      <c r="C4" s="123"/>
      <c r="D4" s="123"/>
      <c r="E4" s="123"/>
      <c r="F4" s="123"/>
      <c r="G4" s="123"/>
      <c r="H4" s="123"/>
      <c r="I4" s="123"/>
      <c r="J4" s="123"/>
      <c r="K4" s="123"/>
      <c r="L4" s="117"/>
      <c r="M4" s="24">
        <f>IF(Master!F9="NO",'GA 55 For Print'!J27,SUM('GA 55 For Print'!J27+'GA 55 For Print'!M27))</f>
        <v>727860</v>
      </c>
      <c r="O4" s="70"/>
      <c r="P4" s="70"/>
    </row>
    <row r="5" spans="1:16" ht="15" customHeight="1" x14ac:dyDescent="0.25">
      <c r="A5" s="22">
        <v>3</v>
      </c>
      <c r="B5" s="134" t="s">
        <v>160</v>
      </c>
      <c r="C5" s="135"/>
      <c r="D5" s="135"/>
      <c r="E5" s="135"/>
      <c r="F5" s="135"/>
      <c r="G5" s="135"/>
      <c r="H5" s="135"/>
      <c r="I5" s="135"/>
      <c r="J5" s="135"/>
      <c r="K5" s="135"/>
      <c r="L5" s="136"/>
      <c r="M5" s="24">
        <f>SUM('Other Ded.'!D3,'Other Ded.'!G19)</f>
        <v>0</v>
      </c>
      <c r="O5" s="70"/>
    </row>
    <row r="6" spans="1:16" ht="15" customHeight="1" x14ac:dyDescent="0.25">
      <c r="A6" s="22">
        <v>4</v>
      </c>
      <c r="B6" s="137" t="s">
        <v>161</v>
      </c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24">
        <f>M4-M5</f>
        <v>727860</v>
      </c>
      <c r="O6" s="70"/>
      <c r="P6" s="70"/>
    </row>
    <row r="7" spans="1:16" ht="15" customHeight="1" x14ac:dyDescent="0.25">
      <c r="A7" s="138">
        <v>5</v>
      </c>
      <c r="B7" s="141" t="s">
        <v>162</v>
      </c>
      <c r="C7" s="141"/>
      <c r="D7" s="141"/>
      <c r="E7" s="141"/>
      <c r="F7" s="141"/>
      <c r="G7" s="141"/>
      <c r="H7" s="141"/>
      <c r="I7" s="141"/>
      <c r="J7" s="141"/>
      <c r="K7" s="141"/>
      <c r="L7" s="25">
        <f>IF($M$6&gt;50000,50000,$M$6)</f>
        <v>50000</v>
      </c>
      <c r="M7" s="124"/>
      <c r="O7" s="70"/>
      <c r="P7" s="70"/>
    </row>
    <row r="8" spans="1:16" ht="15" customHeight="1" x14ac:dyDescent="0.25">
      <c r="A8" s="139"/>
      <c r="B8" s="141" t="s">
        <v>163</v>
      </c>
      <c r="C8" s="141"/>
      <c r="D8" s="141"/>
      <c r="E8" s="141"/>
      <c r="F8" s="141"/>
      <c r="G8" s="141"/>
      <c r="H8" s="141"/>
      <c r="I8" s="141"/>
      <c r="J8" s="141"/>
      <c r="K8" s="141"/>
      <c r="L8" s="25">
        <f>'Other Ded.'!G4</f>
        <v>0</v>
      </c>
      <c r="M8" s="125"/>
    </row>
    <row r="9" spans="1:16" ht="15" customHeight="1" x14ac:dyDescent="0.25">
      <c r="A9" s="139"/>
      <c r="B9" s="141" t="s">
        <v>164</v>
      </c>
      <c r="C9" s="141"/>
      <c r="D9" s="141"/>
      <c r="E9" s="141"/>
      <c r="F9" s="141"/>
      <c r="G9" s="141"/>
      <c r="H9" s="141"/>
      <c r="I9" s="141"/>
      <c r="J9" s="141"/>
      <c r="K9" s="141"/>
      <c r="L9" s="25">
        <f>'Other Ded.'!G5</f>
        <v>0</v>
      </c>
      <c r="M9" s="126"/>
    </row>
    <row r="10" spans="1:16" ht="15" customHeight="1" x14ac:dyDescent="0.25">
      <c r="A10" s="140"/>
      <c r="B10" s="137" t="s">
        <v>165</v>
      </c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24">
        <f>SUM(L7:L9)</f>
        <v>50000</v>
      </c>
    </row>
    <row r="11" spans="1:16" ht="15" customHeight="1" x14ac:dyDescent="0.25">
      <c r="A11" s="22">
        <v>6</v>
      </c>
      <c r="B11" s="146" t="s">
        <v>166</v>
      </c>
      <c r="C11" s="147"/>
      <c r="D11" s="147"/>
      <c r="E11" s="147"/>
      <c r="F11" s="147"/>
      <c r="G11" s="147"/>
      <c r="H11" s="147"/>
      <c r="I11" s="147"/>
      <c r="J11" s="147"/>
      <c r="K11" s="147"/>
      <c r="L11" s="148"/>
      <c r="M11" s="24">
        <f>M6-M10</f>
        <v>677860</v>
      </c>
    </row>
    <row r="12" spans="1:16" ht="15" customHeight="1" x14ac:dyDescent="0.25">
      <c r="A12" s="138">
        <v>7</v>
      </c>
      <c r="B12" s="149" t="s">
        <v>167</v>
      </c>
      <c r="C12" s="149"/>
      <c r="D12" s="149"/>
      <c r="E12" s="149"/>
      <c r="F12" s="149"/>
      <c r="G12" s="149"/>
      <c r="H12" s="132" t="s">
        <v>168</v>
      </c>
      <c r="I12" s="142"/>
      <c r="J12" s="133"/>
      <c r="K12" s="143">
        <f>'Other Ded.'!D4</f>
        <v>0</v>
      </c>
      <c r="L12" s="144"/>
      <c r="M12" s="124"/>
    </row>
    <row r="13" spans="1:16" ht="15" customHeight="1" x14ac:dyDescent="0.25">
      <c r="A13" s="139"/>
      <c r="B13" s="127" t="s">
        <v>169</v>
      </c>
      <c r="C13" s="128"/>
      <c r="D13" s="131" t="s">
        <v>170</v>
      </c>
      <c r="E13" s="131"/>
      <c r="F13" s="131" t="s">
        <v>171</v>
      </c>
      <c r="G13" s="131"/>
      <c r="H13" s="132" t="s">
        <v>172</v>
      </c>
      <c r="I13" s="133"/>
      <c r="J13" s="132" t="s">
        <v>173</v>
      </c>
      <c r="K13" s="142"/>
      <c r="L13" s="133"/>
      <c r="M13" s="125"/>
    </row>
    <row r="14" spans="1:16" ht="15" customHeight="1" x14ac:dyDescent="0.25">
      <c r="A14" s="139"/>
      <c r="B14" s="129"/>
      <c r="C14" s="130"/>
      <c r="D14" s="143">
        <f>ROUND($K$12*0.3,0)</f>
        <v>0</v>
      </c>
      <c r="E14" s="144"/>
      <c r="F14" s="143">
        <f>IF('Other Ded.'!D9&gt;200000,200000,'Other Ded.'!D9)</f>
        <v>0</v>
      </c>
      <c r="G14" s="144"/>
      <c r="H14" s="143">
        <f>'Other Ded.'!D5</f>
        <v>0</v>
      </c>
      <c r="I14" s="144"/>
      <c r="J14" s="143">
        <f>SUM(D14:I14)</f>
        <v>0</v>
      </c>
      <c r="K14" s="145"/>
      <c r="L14" s="144"/>
      <c r="M14" s="126"/>
    </row>
    <row r="15" spans="1:16" ht="15" customHeight="1" x14ac:dyDescent="0.25">
      <c r="A15" s="140"/>
      <c r="B15" s="137" t="s">
        <v>174</v>
      </c>
      <c r="C15" s="137"/>
      <c r="D15" s="137"/>
      <c r="E15" s="137"/>
      <c r="F15" s="137"/>
      <c r="G15" s="137"/>
      <c r="H15" s="137"/>
      <c r="I15" s="137"/>
      <c r="J15" s="137"/>
      <c r="K15" s="137"/>
      <c r="L15" s="137"/>
      <c r="M15" s="24">
        <f>$K$12-$J$14</f>
        <v>0</v>
      </c>
    </row>
    <row r="16" spans="1:16" ht="15" customHeight="1" x14ac:dyDescent="0.25">
      <c r="A16" s="22">
        <v>8</v>
      </c>
      <c r="B16" s="150" t="s">
        <v>175</v>
      </c>
      <c r="C16" s="151"/>
      <c r="D16" s="151"/>
      <c r="E16" s="151"/>
      <c r="F16" s="151"/>
      <c r="G16" s="151"/>
      <c r="H16" s="151"/>
      <c r="I16" s="151"/>
      <c r="J16" s="151"/>
      <c r="K16" s="151"/>
      <c r="L16" s="152"/>
      <c r="M16" s="24">
        <f>$M$11+$M$15</f>
        <v>677860</v>
      </c>
    </row>
    <row r="17" spans="1:13" ht="15" customHeight="1" x14ac:dyDescent="0.25">
      <c r="A17" s="22">
        <v>9</v>
      </c>
      <c r="B17" s="146" t="s">
        <v>176</v>
      </c>
      <c r="C17" s="147"/>
      <c r="D17" s="147"/>
      <c r="E17" s="147"/>
      <c r="F17" s="147"/>
      <c r="G17" s="147"/>
      <c r="H17" s="147"/>
      <c r="I17" s="147"/>
      <c r="J17" s="147"/>
      <c r="K17" s="147"/>
      <c r="L17" s="148"/>
      <c r="M17" s="24">
        <f>'Other Ded.'!K5</f>
        <v>0</v>
      </c>
    </row>
    <row r="18" spans="1:13" ht="15" customHeight="1" x14ac:dyDescent="0.25">
      <c r="A18" s="22">
        <v>10</v>
      </c>
      <c r="B18" s="153" t="s">
        <v>177</v>
      </c>
      <c r="C18" s="154"/>
      <c r="D18" s="154"/>
      <c r="E18" s="154"/>
      <c r="F18" s="154"/>
      <c r="G18" s="154"/>
      <c r="H18" s="154"/>
      <c r="I18" s="154"/>
      <c r="J18" s="154"/>
      <c r="K18" s="154"/>
      <c r="L18" s="155"/>
      <c r="M18" s="24">
        <f>SUM(M16:M17)</f>
        <v>677860</v>
      </c>
    </row>
    <row r="19" spans="1:13" ht="15" customHeight="1" x14ac:dyDescent="0.25">
      <c r="A19" s="22">
        <v>11</v>
      </c>
      <c r="B19" s="156" t="s">
        <v>178</v>
      </c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8"/>
    </row>
    <row r="20" spans="1:13" ht="15" customHeight="1" x14ac:dyDescent="0.25">
      <c r="A20" s="22"/>
      <c r="B20" s="156" t="s">
        <v>179</v>
      </c>
      <c r="C20" s="157"/>
      <c r="D20" s="157"/>
      <c r="E20" s="157"/>
      <c r="F20" s="157"/>
      <c r="G20" s="157"/>
      <c r="H20" s="157"/>
      <c r="I20" s="157"/>
      <c r="J20" s="157"/>
      <c r="K20" s="157"/>
      <c r="L20" s="157"/>
      <c r="M20" s="158"/>
    </row>
    <row r="21" spans="1:13" ht="15" customHeight="1" x14ac:dyDescent="0.25">
      <c r="A21" s="22"/>
      <c r="B21" s="26">
        <v>1</v>
      </c>
      <c r="C21" s="156" t="s">
        <v>180</v>
      </c>
      <c r="D21" s="157"/>
      <c r="E21" s="159"/>
      <c r="F21" s="160">
        <f>SUM('GA 55 For Print'!K27+'GA 55 For Print'!P27)</f>
        <v>36000</v>
      </c>
      <c r="G21" s="161"/>
      <c r="H21" s="26">
        <v>11</v>
      </c>
      <c r="I21" s="156" t="s">
        <v>181</v>
      </c>
      <c r="J21" s="157"/>
      <c r="K21" s="159"/>
      <c r="L21" s="27">
        <f>IF(Master!F9="Yes",'Other Ded.'!D6,0)</f>
        <v>61823</v>
      </c>
      <c r="M21" s="124"/>
    </row>
    <row r="22" spans="1:13" ht="15" customHeight="1" x14ac:dyDescent="0.25">
      <c r="A22" s="22"/>
      <c r="B22" s="26">
        <v>2</v>
      </c>
      <c r="C22" s="156" t="s">
        <v>55</v>
      </c>
      <c r="D22" s="157"/>
      <c r="E22" s="159"/>
      <c r="F22" s="160">
        <f>SUM('GA 55 For Print'!S27,'Other Ded.'!D10)</f>
        <v>0</v>
      </c>
      <c r="G22" s="161"/>
      <c r="H22" s="26">
        <v>12</v>
      </c>
      <c r="I22" s="156" t="s">
        <v>182</v>
      </c>
      <c r="J22" s="157"/>
      <c r="K22" s="159"/>
      <c r="L22" s="27">
        <f>'Other Ded.'!G9</f>
        <v>0</v>
      </c>
      <c r="M22" s="125"/>
    </row>
    <row r="23" spans="1:13" ht="15" customHeight="1" x14ac:dyDescent="0.25">
      <c r="A23" s="22"/>
      <c r="B23" s="26">
        <v>3</v>
      </c>
      <c r="C23" s="156" t="s">
        <v>183</v>
      </c>
      <c r="D23" s="157"/>
      <c r="E23" s="159"/>
      <c r="F23" s="160">
        <f>IF(Master!F9="Yes",'GA 55 For Print'!U27,'GA 55 For Print'!L27)</f>
        <v>5081</v>
      </c>
      <c r="G23" s="161"/>
      <c r="H23" s="26">
        <v>13</v>
      </c>
      <c r="I23" s="156" t="s">
        <v>184</v>
      </c>
      <c r="J23" s="157"/>
      <c r="K23" s="159"/>
      <c r="L23" s="27">
        <f>'Other Ded.'!D18</f>
        <v>0</v>
      </c>
      <c r="M23" s="125"/>
    </row>
    <row r="24" spans="1:13" ht="15" customHeight="1" x14ac:dyDescent="0.25">
      <c r="A24" s="22"/>
      <c r="B24" s="26">
        <v>4</v>
      </c>
      <c r="C24" s="156" t="s">
        <v>185</v>
      </c>
      <c r="D24" s="157"/>
      <c r="E24" s="159"/>
      <c r="F24" s="160">
        <f>'Other Ded.'!D17</f>
        <v>0</v>
      </c>
      <c r="G24" s="161"/>
      <c r="H24" s="26">
        <v>14</v>
      </c>
      <c r="I24" s="156" t="s">
        <v>186</v>
      </c>
      <c r="J24" s="157"/>
      <c r="K24" s="159"/>
      <c r="L24" s="27">
        <f>'Other Ded.'!D12</f>
        <v>0</v>
      </c>
      <c r="M24" s="125"/>
    </row>
    <row r="25" spans="1:13" ht="15" customHeight="1" x14ac:dyDescent="0.25">
      <c r="A25" s="22"/>
      <c r="B25" s="26">
        <v>5</v>
      </c>
      <c r="C25" s="156" t="s">
        <v>187</v>
      </c>
      <c r="D25" s="157"/>
      <c r="E25" s="159"/>
      <c r="F25" s="160">
        <f>'Other Ded.'!D13</f>
        <v>0</v>
      </c>
      <c r="G25" s="161"/>
      <c r="H25" s="26">
        <v>15</v>
      </c>
      <c r="I25" s="156" t="s">
        <v>188</v>
      </c>
      <c r="J25" s="157"/>
      <c r="K25" s="159"/>
      <c r="L25" s="27">
        <f>'Other Ded.'!D20</f>
        <v>0</v>
      </c>
      <c r="M25" s="125"/>
    </row>
    <row r="26" spans="1:13" ht="15" customHeight="1" x14ac:dyDescent="0.25">
      <c r="A26" s="22"/>
      <c r="B26" s="26">
        <v>6</v>
      </c>
      <c r="C26" s="156" t="s">
        <v>189</v>
      </c>
      <c r="D26" s="157"/>
      <c r="E26" s="159"/>
      <c r="F26" s="160">
        <f>'Other Ded.'!D16</f>
        <v>0</v>
      </c>
      <c r="G26" s="161"/>
      <c r="H26" s="26">
        <v>16</v>
      </c>
      <c r="I26" s="156" t="s">
        <v>190</v>
      </c>
      <c r="J26" s="157"/>
      <c r="K26" s="159"/>
      <c r="L26" s="27">
        <f>'Other Ded.'!G3</f>
        <v>0</v>
      </c>
      <c r="M26" s="125"/>
    </row>
    <row r="27" spans="1:13" ht="15" customHeight="1" x14ac:dyDescent="0.25">
      <c r="A27" s="22"/>
      <c r="B27" s="26">
        <v>7</v>
      </c>
      <c r="C27" s="156" t="s">
        <v>54</v>
      </c>
      <c r="D27" s="157"/>
      <c r="E27" s="159"/>
      <c r="F27" s="160">
        <f>'GA 55 For Print'!R27</f>
        <v>220</v>
      </c>
      <c r="G27" s="161"/>
      <c r="H27" s="26">
        <v>17</v>
      </c>
      <c r="I27" s="156" t="s">
        <v>191</v>
      </c>
      <c r="J27" s="157"/>
      <c r="K27" s="159"/>
      <c r="L27" s="27">
        <f>'Other Ded.'!D11</f>
        <v>0</v>
      </c>
      <c r="M27" s="125"/>
    </row>
    <row r="28" spans="1:13" ht="15" customHeight="1" x14ac:dyDescent="0.25">
      <c r="A28" s="22"/>
      <c r="B28" s="26">
        <v>8</v>
      </c>
      <c r="C28" s="156" t="s">
        <v>192</v>
      </c>
      <c r="D28" s="157"/>
      <c r="E28" s="159"/>
      <c r="F28" s="160">
        <f>'Other Ded.'!D15</f>
        <v>0</v>
      </c>
      <c r="G28" s="161"/>
      <c r="H28" s="26">
        <v>18</v>
      </c>
      <c r="I28" s="156" t="s">
        <v>193</v>
      </c>
      <c r="J28" s="157"/>
      <c r="K28" s="159"/>
      <c r="L28" s="27">
        <f>'Other Ded.'!G8</f>
        <v>0</v>
      </c>
      <c r="M28" s="125"/>
    </row>
    <row r="29" spans="1:13" ht="15" customHeight="1" x14ac:dyDescent="0.25">
      <c r="A29" s="22"/>
      <c r="B29" s="26">
        <v>9</v>
      </c>
      <c r="C29" s="156" t="s">
        <v>194</v>
      </c>
      <c r="D29" s="157"/>
      <c r="E29" s="159"/>
      <c r="F29" s="160">
        <f>'Other Ded.'!D8</f>
        <v>0</v>
      </c>
      <c r="G29" s="161"/>
      <c r="H29" s="162">
        <v>19</v>
      </c>
      <c r="I29" s="127" t="s">
        <v>195</v>
      </c>
      <c r="J29" s="164"/>
      <c r="K29" s="128"/>
      <c r="L29" s="166">
        <f>SUM(F21:G30,L21:L28)</f>
        <v>103124</v>
      </c>
      <c r="M29" s="125"/>
    </row>
    <row r="30" spans="1:13" ht="15" customHeight="1" x14ac:dyDescent="0.25">
      <c r="A30" s="22"/>
      <c r="B30" s="26">
        <v>10</v>
      </c>
      <c r="C30" s="149" t="s">
        <v>196</v>
      </c>
      <c r="D30" s="149"/>
      <c r="E30" s="149"/>
      <c r="F30" s="160">
        <f>'Other Ded.'!D14</f>
        <v>0</v>
      </c>
      <c r="G30" s="161"/>
      <c r="H30" s="163"/>
      <c r="I30" s="129"/>
      <c r="J30" s="165"/>
      <c r="K30" s="130"/>
      <c r="L30" s="167"/>
      <c r="M30" s="126"/>
    </row>
    <row r="31" spans="1:13" ht="15" customHeight="1" x14ac:dyDescent="0.25">
      <c r="A31" s="22"/>
      <c r="B31" s="137" t="s">
        <v>197</v>
      </c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28">
        <f>IF($L$29&lt;150001,ROUND($L$29,0),150000)</f>
        <v>103124</v>
      </c>
    </row>
    <row r="32" spans="1:13" ht="15" customHeight="1" x14ac:dyDescent="0.25">
      <c r="A32" s="22"/>
      <c r="B32" s="29" t="s">
        <v>198</v>
      </c>
      <c r="C32" s="141" t="s">
        <v>199</v>
      </c>
      <c r="D32" s="141"/>
      <c r="E32" s="141"/>
      <c r="F32" s="141"/>
      <c r="G32" s="141"/>
      <c r="H32" s="141"/>
      <c r="I32" s="141"/>
      <c r="J32" s="141"/>
      <c r="K32" s="141"/>
      <c r="L32" s="141"/>
      <c r="M32" s="24">
        <f>'Other Ded.'!J6</f>
        <v>61823</v>
      </c>
    </row>
    <row r="33" spans="1:13" ht="15" customHeight="1" x14ac:dyDescent="0.25">
      <c r="A33" s="22"/>
      <c r="B33" s="29" t="s">
        <v>200</v>
      </c>
      <c r="C33" s="141" t="s">
        <v>201</v>
      </c>
      <c r="D33" s="141"/>
      <c r="E33" s="141"/>
      <c r="F33" s="141"/>
      <c r="G33" s="141"/>
      <c r="H33" s="141"/>
      <c r="I33" s="141"/>
      <c r="J33" s="141"/>
      <c r="K33" s="141"/>
      <c r="L33" s="141"/>
      <c r="M33" s="24">
        <f>IF('Other Ded.'!G10&lt;50000,'Other Ded.'!G10,50000)</f>
        <v>0</v>
      </c>
    </row>
    <row r="34" spans="1:13" ht="15" customHeight="1" x14ac:dyDescent="0.25">
      <c r="A34" s="22"/>
      <c r="B34" s="137" t="s">
        <v>202</v>
      </c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24">
        <f>SUM(M31:M33)</f>
        <v>164947</v>
      </c>
    </row>
    <row r="35" spans="1:13" ht="15" customHeight="1" x14ac:dyDescent="0.25">
      <c r="A35" s="22">
        <v>12</v>
      </c>
      <c r="B35" s="149" t="s">
        <v>203</v>
      </c>
      <c r="C35" s="149"/>
      <c r="D35" s="149"/>
      <c r="E35" s="149"/>
      <c r="F35" s="149"/>
      <c r="G35" s="149"/>
      <c r="H35" s="149"/>
      <c r="I35" s="149"/>
      <c r="J35" s="149"/>
      <c r="K35" s="149"/>
      <c r="L35" s="149"/>
      <c r="M35" s="24"/>
    </row>
    <row r="36" spans="1:13" ht="15" customHeight="1" x14ac:dyDescent="0.25">
      <c r="A36" s="22"/>
      <c r="B36" s="29">
        <v>1</v>
      </c>
      <c r="C36" s="159" t="s">
        <v>204</v>
      </c>
      <c r="D36" s="141"/>
      <c r="E36" s="141"/>
      <c r="F36" s="141"/>
      <c r="G36" s="141"/>
      <c r="H36" s="141"/>
      <c r="I36" s="141"/>
      <c r="J36" s="141"/>
      <c r="K36" s="141"/>
      <c r="L36" s="141"/>
      <c r="M36" s="24">
        <f>'Other Ded.'!G11</f>
        <v>0</v>
      </c>
    </row>
    <row r="37" spans="1:13" ht="15" customHeight="1" x14ac:dyDescent="0.25">
      <c r="A37" s="22"/>
      <c r="B37" s="29">
        <v>2</v>
      </c>
      <c r="C37" s="159" t="s">
        <v>205</v>
      </c>
      <c r="D37" s="141"/>
      <c r="E37" s="141"/>
      <c r="F37" s="141"/>
      <c r="G37" s="141"/>
      <c r="H37" s="141"/>
      <c r="I37" s="141"/>
      <c r="J37" s="141"/>
      <c r="K37" s="141"/>
      <c r="L37" s="141"/>
      <c r="M37" s="24">
        <f>'Other Ded.'!G12</f>
        <v>0</v>
      </c>
    </row>
    <row r="38" spans="1:13" ht="15" customHeight="1" x14ac:dyDescent="0.25">
      <c r="A38" s="22"/>
      <c r="B38" s="29">
        <v>3</v>
      </c>
      <c r="C38" s="159" t="s">
        <v>206</v>
      </c>
      <c r="D38" s="141"/>
      <c r="E38" s="141"/>
      <c r="F38" s="141"/>
      <c r="G38" s="141"/>
      <c r="H38" s="141"/>
      <c r="I38" s="141"/>
      <c r="J38" s="141"/>
      <c r="K38" s="141"/>
      <c r="L38" s="141"/>
      <c r="M38" s="24">
        <f>'Other Ded.'!G13</f>
        <v>0</v>
      </c>
    </row>
    <row r="39" spans="1:13" ht="15" customHeight="1" x14ac:dyDescent="0.25">
      <c r="A39" s="22"/>
      <c r="B39" s="29">
        <v>4</v>
      </c>
      <c r="C39" s="159" t="s">
        <v>207</v>
      </c>
      <c r="D39" s="141"/>
      <c r="E39" s="141"/>
      <c r="F39" s="141"/>
      <c r="G39" s="141"/>
      <c r="H39" s="141"/>
      <c r="I39" s="141"/>
      <c r="J39" s="141"/>
      <c r="K39" s="141"/>
      <c r="L39" s="141"/>
      <c r="M39" s="24">
        <f>'Other Ded.'!G14</f>
        <v>0</v>
      </c>
    </row>
    <row r="40" spans="1:13" ht="15" customHeight="1" x14ac:dyDescent="0.25">
      <c r="A40" s="22"/>
      <c r="B40" s="29">
        <v>5</v>
      </c>
      <c r="C40" s="159" t="s">
        <v>208</v>
      </c>
      <c r="D40" s="141"/>
      <c r="E40" s="141"/>
      <c r="F40" s="141"/>
      <c r="G40" s="141"/>
      <c r="H40" s="141"/>
      <c r="I40" s="141"/>
      <c r="J40" s="141"/>
      <c r="K40" s="141"/>
      <c r="L40" s="141"/>
      <c r="M40" s="24">
        <f>SUM('Other Ded.'!D7,'Other Ded.'!G20)</f>
        <v>7937</v>
      </c>
    </row>
    <row r="41" spans="1:13" ht="15" customHeight="1" x14ac:dyDescent="0.25">
      <c r="A41" s="22"/>
      <c r="B41" s="29">
        <v>6</v>
      </c>
      <c r="C41" s="159" t="s">
        <v>209</v>
      </c>
      <c r="D41" s="141"/>
      <c r="E41" s="141"/>
      <c r="F41" s="141"/>
      <c r="G41" s="141"/>
      <c r="H41" s="141"/>
      <c r="I41" s="141"/>
      <c r="J41" s="141"/>
      <c r="K41" s="141"/>
      <c r="L41" s="141"/>
      <c r="M41" s="24">
        <f>'Other Ded.'!G15</f>
        <v>0</v>
      </c>
    </row>
    <row r="42" spans="1:13" ht="15" customHeight="1" x14ac:dyDescent="0.25">
      <c r="A42" s="22"/>
      <c r="B42" s="29">
        <v>7</v>
      </c>
      <c r="C42" s="159" t="s">
        <v>210</v>
      </c>
      <c r="D42" s="141"/>
      <c r="E42" s="141"/>
      <c r="F42" s="141"/>
      <c r="G42" s="141"/>
      <c r="H42" s="141"/>
      <c r="I42" s="141"/>
      <c r="J42" s="141"/>
      <c r="K42" s="141"/>
      <c r="L42" s="141"/>
      <c r="M42" s="24">
        <f>IF(Master!$F$12="Yes",0,IF('Other Ded.'!D19&gt;10000,10000,'Other Ded.'!D19))</f>
        <v>0</v>
      </c>
    </row>
    <row r="43" spans="1:13" ht="15" customHeight="1" x14ac:dyDescent="0.25">
      <c r="A43" s="22"/>
      <c r="B43" s="29">
        <v>8</v>
      </c>
      <c r="C43" s="159" t="s">
        <v>211</v>
      </c>
      <c r="D43" s="141"/>
      <c r="E43" s="141"/>
      <c r="F43" s="141"/>
      <c r="G43" s="141"/>
      <c r="H43" s="141"/>
      <c r="I43" s="141"/>
      <c r="J43" s="141"/>
      <c r="K43" s="141"/>
      <c r="L43" s="141"/>
      <c r="M43" s="24">
        <f>IF(Master!$F$12="No",0,IF('Other Ded.'!K4&lt;50001,'Other Ded.'!K4,50000))</f>
        <v>0</v>
      </c>
    </row>
    <row r="44" spans="1:13" ht="15" customHeight="1" x14ac:dyDescent="0.25">
      <c r="A44" s="22"/>
      <c r="B44" s="29">
        <v>9</v>
      </c>
      <c r="C44" s="159" t="s">
        <v>212</v>
      </c>
      <c r="D44" s="141"/>
      <c r="E44" s="141"/>
      <c r="F44" s="141"/>
      <c r="G44" s="141"/>
      <c r="H44" s="141"/>
      <c r="I44" s="141"/>
      <c r="J44" s="141"/>
      <c r="K44" s="141"/>
      <c r="L44" s="141"/>
      <c r="M44" s="24">
        <f>'Other Ded.'!G16</f>
        <v>0</v>
      </c>
    </row>
    <row r="45" spans="1:13" ht="15" customHeight="1" x14ac:dyDescent="0.25">
      <c r="A45" s="22"/>
      <c r="B45" s="150" t="s">
        <v>213</v>
      </c>
      <c r="C45" s="151"/>
      <c r="D45" s="151"/>
      <c r="E45" s="151"/>
      <c r="F45" s="151"/>
      <c r="G45" s="151"/>
      <c r="H45" s="151"/>
      <c r="I45" s="151"/>
      <c r="J45" s="151"/>
      <c r="K45" s="151"/>
      <c r="L45" s="152"/>
      <c r="M45" s="24">
        <f>SUM(M36:M44)</f>
        <v>7937</v>
      </c>
    </row>
    <row r="46" spans="1:13" ht="15" customHeight="1" x14ac:dyDescent="0.25">
      <c r="A46" s="22">
        <v>13</v>
      </c>
      <c r="B46" s="141" t="s">
        <v>214</v>
      </c>
      <c r="C46" s="141"/>
      <c r="D46" s="141"/>
      <c r="E46" s="141"/>
      <c r="F46" s="141"/>
      <c r="G46" s="141"/>
      <c r="H46" s="141"/>
      <c r="I46" s="141"/>
      <c r="J46" s="141"/>
      <c r="K46" s="141"/>
      <c r="L46" s="141"/>
      <c r="M46" s="24">
        <f>SUM(M34,M45)</f>
        <v>172884</v>
      </c>
    </row>
    <row r="47" spans="1:13" ht="15" customHeight="1" x14ac:dyDescent="0.25">
      <c r="A47" s="22">
        <v>14</v>
      </c>
      <c r="B47" s="168" t="s">
        <v>215</v>
      </c>
      <c r="C47" s="168"/>
      <c r="D47" s="168"/>
      <c r="E47" s="168"/>
      <c r="F47" s="168"/>
      <c r="G47" s="168"/>
      <c r="H47" s="168"/>
      <c r="I47" s="168"/>
      <c r="J47" s="168"/>
      <c r="K47" s="168"/>
      <c r="L47" s="168"/>
      <c r="M47" s="24">
        <f>$M$18-$M$46</f>
        <v>504976</v>
      </c>
    </row>
    <row r="48" spans="1:13" ht="15" customHeight="1" x14ac:dyDescent="0.25">
      <c r="A48" s="22">
        <v>15</v>
      </c>
      <c r="B48" s="141" t="s">
        <v>216</v>
      </c>
      <c r="C48" s="141"/>
      <c r="D48" s="141"/>
      <c r="E48" s="141"/>
      <c r="F48" s="141"/>
      <c r="G48" s="141"/>
      <c r="H48" s="141"/>
      <c r="I48" s="141"/>
      <c r="J48" s="141"/>
      <c r="K48" s="141"/>
      <c r="L48" s="141"/>
      <c r="M48" s="24">
        <f>ROUND($M$47,-1)</f>
        <v>504980</v>
      </c>
    </row>
    <row r="49" spans="1:13" ht="15" customHeight="1" x14ac:dyDescent="0.25">
      <c r="A49" s="22">
        <v>16</v>
      </c>
      <c r="B49" s="141" t="s">
        <v>217</v>
      </c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24"/>
    </row>
    <row r="50" spans="1:13" ht="15" customHeight="1" x14ac:dyDescent="0.25">
      <c r="A50" s="22"/>
      <c r="B50" s="131" t="s">
        <v>218</v>
      </c>
      <c r="C50" s="131"/>
      <c r="D50" s="131"/>
      <c r="E50" s="131"/>
      <c r="F50" s="131" t="s">
        <v>219</v>
      </c>
      <c r="G50" s="131"/>
      <c r="H50" s="131"/>
      <c r="I50" s="131"/>
      <c r="J50" s="131" t="s">
        <v>220</v>
      </c>
      <c r="K50" s="131"/>
      <c r="L50" s="131"/>
      <c r="M50" s="24"/>
    </row>
    <row r="51" spans="1:13" ht="15" customHeight="1" x14ac:dyDescent="0.25">
      <c r="A51" s="22"/>
      <c r="B51" s="156" t="s">
        <v>221</v>
      </c>
      <c r="C51" s="157"/>
      <c r="D51" s="159"/>
      <c r="E51" s="26" t="s">
        <v>222</v>
      </c>
      <c r="F51" s="156" t="s">
        <v>223</v>
      </c>
      <c r="G51" s="157"/>
      <c r="H51" s="159"/>
      <c r="I51" s="26" t="s">
        <v>222</v>
      </c>
      <c r="J51" s="156"/>
      <c r="K51" s="159"/>
      <c r="L51" s="29"/>
      <c r="M51" s="24">
        <v>0</v>
      </c>
    </row>
    <row r="52" spans="1:13" ht="15" customHeight="1" x14ac:dyDescent="0.25">
      <c r="A52" s="22"/>
      <c r="B52" s="156" t="s">
        <v>224</v>
      </c>
      <c r="C52" s="157"/>
      <c r="D52" s="159"/>
      <c r="E52" s="30">
        <v>0.05</v>
      </c>
      <c r="F52" s="156" t="s">
        <v>225</v>
      </c>
      <c r="G52" s="157"/>
      <c r="H52" s="159"/>
      <c r="I52" s="30">
        <v>0.05</v>
      </c>
      <c r="J52" s="156" t="s">
        <v>226</v>
      </c>
      <c r="K52" s="159"/>
      <c r="L52" s="26" t="s">
        <v>222</v>
      </c>
      <c r="M52" s="24">
        <f>ROUND(IF(Master!F12="NO",IF(M48&lt;250001,0,IF(M48&gt;500000,12500,((M48-250000)*0.05))),IF(M48&lt;300001,0,IF(M48&gt;500000,10000,((M48-300000)*0.05)))),0)</f>
        <v>12500</v>
      </c>
    </row>
    <row r="53" spans="1:13" ht="15" customHeight="1" x14ac:dyDescent="0.25">
      <c r="A53" s="22"/>
      <c r="B53" s="156" t="s">
        <v>227</v>
      </c>
      <c r="C53" s="157"/>
      <c r="D53" s="159"/>
      <c r="E53" s="30">
        <v>0.2</v>
      </c>
      <c r="F53" s="156" t="s">
        <v>227</v>
      </c>
      <c r="G53" s="157"/>
      <c r="H53" s="159"/>
      <c r="I53" s="30">
        <v>0.2</v>
      </c>
      <c r="J53" s="156" t="s">
        <v>227</v>
      </c>
      <c r="K53" s="159"/>
      <c r="L53" s="30">
        <v>0.2</v>
      </c>
      <c r="M53" s="24">
        <f>IF(M48&lt;500001,0,IF(M48&gt;1000000,100000,((M48-500000)*0.2)))</f>
        <v>996</v>
      </c>
    </row>
    <row r="54" spans="1:13" ht="15" customHeight="1" x14ac:dyDescent="0.25">
      <c r="A54" s="22"/>
      <c r="B54" s="156" t="s">
        <v>228</v>
      </c>
      <c r="C54" s="157"/>
      <c r="D54" s="159"/>
      <c r="E54" s="30">
        <v>0.3</v>
      </c>
      <c r="F54" s="156" t="s">
        <v>228</v>
      </c>
      <c r="G54" s="157"/>
      <c r="H54" s="159"/>
      <c r="I54" s="30">
        <v>0.3</v>
      </c>
      <c r="J54" s="156" t="s">
        <v>228</v>
      </c>
      <c r="K54" s="159"/>
      <c r="L54" s="30">
        <v>0.3</v>
      </c>
      <c r="M54" s="24">
        <f>IF(M48&lt;1000001,0,((M48-1000000)*0.3))</f>
        <v>0</v>
      </c>
    </row>
    <row r="55" spans="1:13" ht="15" customHeight="1" x14ac:dyDescent="0.25">
      <c r="A55" s="22"/>
      <c r="B55" s="26">
        <v>1</v>
      </c>
      <c r="C55" s="156" t="s">
        <v>229</v>
      </c>
      <c r="D55" s="157"/>
      <c r="E55" s="157"/>
      <c r="F55" s="157"/>
      <c r="G55" s="157"/>
      <c r="H55" s="157"/>
      <c r="I55" s="157"/>
      <c r="J55" s="157"/>
      <c r="K55" s="157"/>
      <c r="L55" s="159"/>
      <c r="M55" s="24">
        <f>SUM(M51:M54)</f>
        <v>13496</v>
      </c>
    </row>
    <row r="56" spans="1:13" ht="15" customHeight="1" x14ac:dyDescent="0.25">
      <c r="A56" s="22"/>
      <c r="B56" s="26">
        <v>2</v>
      </c>
      <c r="C56" s="156" t="s">
        <v>230</v>
      </c>
      <c r="D56" s="157"/>
      <c r="E56" s="157"/>
      <c r="F56" s="157"/>
      <c r="G56" s="157"/>
      <c r="H56" s="157"/>
      <c r="I56" s="157"/>
      <c r="J56" s="157"/>
      <c r="K56" s="157"/>
      <c r="L56" s="159"/>
      <c r="M56" s="24">
        <f>IF(M48&gt;500000,0,IF(M55&lt;12501,M55,12500))</f>
        <v>0</v>
      </c>
    </row>
    <row r="57" spans="1:13" ht="15" customHeight="1" x14ac:dyDescent="0.25">
      <c r="A57" s="22"/>
      <c r="B57" s="26">
        <v>3</v>
      </c>
      <c r="C57" s="156" t="s">
        <v>231</v>
      </c>
      <c r="D57" s="157"/>
      <c r="E57" s="157"/>
      <c r="F57" s="157"/>
      <c r="G57" s="157"/>
      <c r="H57" s="157"/>
      <c r="I57" s="157"/>
      <c r="J57" s="157"/>
      <c r="K57" s="157"/>
      <c r="L57" s="159"/>
      <c r="M57" s="24">
        <f>M55-M56</f>
        <v>13496</v>
      </c>
    </row>
    <row r="58" spans="1:13" ht="15" customHeight="1" x14ac:dyDescent="0.25">
      <c r="A58" s="22"/>
      <c r="B58" s="26">
        <v>4</v>
      </c>
      <c r="C58" s="156" t="s">
        <v>232</v>
      </c>
      <c r="D58" s="157"/>
      <c r="E58" s="157"/>
      <c r="F58" s="157"/>
      <c r="G58" s="157"/>
      <c r="H58" s="157"/>
      <c r="I58" s="157"/>
      <c r="J58" s="157"/>
      <c r="K58" s="157"/>
      <c r="L58" s="159"/>
      <c r="M58" s="24">
        <f>ROUND(M57*0.04,0)</f>
        <v>540</v>
      </c>
    </row>
    <row r="59" spans="1:13" ht="15" customHeight="1" x14ac:dyDescent="0.25">
      <c r="A59" s="22"/>
      <c r="B59" s="146" t="s">
        <v>233</v>
      </c>
      <c r="C59" s="147"/>
      <c r="D59" s="147"/>
      <c r="E59" s="147"/>
      <c r="F59" s="147"/>
      <c r="G59" s="147"/>
      <c r="H59" s="147"/>
      <c r="I59" s="147"/>
      <c r="J59" s="147"/>
      <c r="K59" s="147"/>
      <c r="L59" s="148"/>
      <c r="M59" s="24">
        <f>SUM(M57:M58)</f>
        <v>14036</v>
      </c>
    </row>
    <row r="60" spans="1:13" ht="15" customHeight="1" x14ac:dyDescent="0.25">
      <c r="A60" s="22">
        <v>17</v>
      </c>
      <c r="B60" s="141" t="s">
        <v>234</v>
      </c>
      <c r="C60" s="141"/>
      <c r="D60" s="141"/>
      <c r="E60" s="141"/>
      <c r="F60" s="141"/>
      <c r="G60" s="141"/>
      <c r="H60" s="141"/>
      <c r="I60" s="141"/>
      <c r="J60" s="141"/>
      <c r="K60" s="141"/>
      <c r="L60" s="141"/>
      <c r="M60" s="24">
        <f>'Other Ded.'!G17</f>
        <v>0</v>
      </c>
    </row>
    <row r="61" spans="1:13" ht="15" customHeight="1" x14ac:dyDescent="0.25">
      <c r="A61" s="22">
        <v>18</v>
      </c>
      <c r="B61" s="141" t="s">
        <v>235</v>
      </c>
      <c r="C61" s="141"/>
      <c r="D61" s="141"/>
      <c r="E61" s="141"/>
      <c r="F61" s="141"/>
      <c r="G61" s="141"/>
      <c r="H61" s="141"/>
      <c r="I61" s="141"/>
      <c r="J61" s="141"/>
      <c r="K61" s="141"/>
      <c r="L61" s="141"/>
      <c r="M61" s="24">
        <f>M59-M60</f>
        <v>14036</v>
      </c>
    </row>
    <row r="62" spans="1:13" ht="24" customHeight="1" x14ac:dyDescent="0.25">
      <c r="A62" s="176">
        <v>19</v>
      </c>
      <c r="B62" s="178" t="s">
        <v>236</v>
      </c>
      <c r="C62" s="178"/>
      <c r="D62" s="179" t="s">
        <v>237</v>
      </c>
      <c r="E62" s="180"/>
      <c r="F62" s="179" t="s">
        <v>238</v>
      </c>
      <c r="G62" s="180"/>
      <c r="H62" s="179" t="s">
        <v>239</v>
      </c>
      <c r="I62" s="180"/>
      <c r="J62" s="179" t="s">
        <v>240</v>
      </c>
      <c r="K62" s="180"/>
      <c r="L62" s="31" t="s">
        <v>241</v>
      </c>
      <c r="M62" s="32" t="s">
        <v>242</v>
      </c>
    </row>
    <row r="63" spans="1:13" ht="15" customHeight="1" x14ac:dyDescent="0.25">
      <c r="A63" s="177"/>
      <c r="B63" s="178"/>
      <c r="C63" s="178"/>
      <c r="D63" s="169">
        <f>SUM('GA 55 For Print'!$X$7:$X$13)</f>
        <v>0</v>
      </c>
      <c r="E63" s="170"/>
      <c r="F63" s="169">
        <f>SUM('GA 55 For Print'!$X$14:$X$16)</f>
        <v>0</v>
      </c>
      <c r="G63" s="170"/>
      <c r="H63" s="169" t="str">
        <f>'GA 55 For Print'!$X$17</f>
        <v/>
      </c>
      <c r="I63" s="170"/>
      <c r="J63" s="169" t="str">
        <f>'GA 55 For Print'!$X$18</f>
        <v/>
      </c>
      <c r="K63" s="170"/>
      <c r="L63" s="33">
        <f>'Other Ded.'!$G$18</f>
        <v>0</v>
      </c>
      <c r="M63" s="24">
        <f>SUM($D$63:$L$63)</f>
        <v>0</v>
      </c>
    </row>
    <row r="64" spans="1:13" ht="15" customHeight="1" x14ac:dyDescent="0.25">
      <c r="A64" s="171" t="str">
        <f>IF(M61&gt;M63,"Income Tax Payable",IF(M61&lt;M63,"Income Tax Refundable","Income Tax No Need"))</f>
        <v>Income Tax Payable</v>
      </c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24">
        <f>M61-M63</f>
        <v>14036</v>
      </c>
    </row>
    <row r="65" spans="1:14" ht="15" customHeight="1" x14ac:dyDescent="0.25">
      <c r="A65" s="34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35"/>
    </row>
    <row r="66" spans="1:14" ht="15" customHeight="1" thickBot="1" x14ac:dyDescent="0.3">
      <c r="A66" s="173" t="s">
        <v>68</v>
      </c>
      <c r="B66" s="174"/>
      <c r="C66" s="174"/>
      <c r="D66" s="174"/>
      <c r="E66" s="36"/>
      <c r="F66" s="36"/>
      <c r="G66" s="36"/>
      <c r="H66" s="36"/>
      <c r="I66" s="36"/>
      <c r="J66" s="36"/>
      <c r="K66" s="36"/>
      <c r="L66" s="174" t="s">
        <v>69</v>
      </c>
      <c r="M66" s="175"/>
      <c r="N66" s="37"/>
    </row>
  </sheetData>
  <sheetProtection password="CE26" sheet="1" objects="1" scenarios="1" formatCells="0" formatColumns="0" formatRows="0" insertColumns="0"/>
  <mergeCells count="121">
    <mergeCell ref="D63:E63"/>
    <mergeCell ref="F63:G63"/>
    <mergeCell ref="H63:I63"/>
    <mergeCell ref="J63:K63"/>
    <mergeCell ref="A64:L64"/>
    <mergeCell ref="A66:D66"/>
    <mergeCell ref="L66:M66"/>
    <mergeCell ref="C58:L58"/>
    <mergeCell ref="B59:L59"/>
    <mergeCell ref="B60:L60"/>
    <mergeCell ref="B61:L61"/>
    <mergeCell ref="A62:A63"/>
    <mergeCell ref="B62:C63"/>
    <mergeCell ref="D62:E62"/>
    <mergeCell ref="F62:G62"/>
    <mergeCell ref="H62:I62"/>
    <mergeCell ref="J62:K62"/>
    <mergeCell ref="B54:D54"/>
    <mergeCell ref="F54:H54"/>
    <mergeCell ref="J54:K54"/>
    <mergeCell ref="C55:L55"/>
    <mergeCell ref="C56:L56"/>
    <mergeCell ref="C57:L57"/>
    <mergeCell ref="B52:D52"/>
    <mergeCell ref="F52:H52"/>
    <mergeCell ref="J52:K52"/>
    <mergeCell ref="B53:D53"/>
    <mergeCell ref="F53:H53"/>
    <mergeCell ref="J53:K53"/>
    <mergeCell ref="B49:L49"/>
    <mergeCell ref="B50:E50"/>
    <mergeCell ref="F50:I50"/>
    <mergeCell ref="J50:L50"/>
    <mergeCell ref="B51:D51"/>
    <mergeCell ref="F51:H51"/>
    <mergeCell ref="J51:K51"/>
    <mergeCell ref="C43:L43"/>
    <mergeCell ref="C44:L44"/>
    <mergeCell ref="B45:L45"/>
    <mergeCell ref="B46:L46"/>
    <mergeCell ref="B47:L47"/>
    <mergeCell ref="B48:L48"/>
    <mergeCell ref="C37:L37"/>
    <mergeCell ref="C38:L38"/>
    <mergeCell ref="C39:L39"/>
    <mergeCell ref="C40:L40"/>
    <mergeCell ref="C41:L41"/>
    <mergeCell ref="C42:L42"/>
    <mergeCell ref="B31:L31"/>
    <mergeCell ref="C32:L32"/>
    <mergeCell ref="C33:L33"/>
    <mergeCell ref="B34:L34"/>
    <mergeCell ref="B35:L35"/>
    <mergeCell ref="C36:L36"/>
    <mergeCell ref="I29:K30"/>
    <mergeCell ref="L29:L30"/>
    <mergeCell ref="C30:E30"/>
    <mergeCell ref="F30:G30"/>
    <mergeCell ref="C27:E27"/>
    <mergeCell ref="F27:G27"/>
    <mergeCell ref="I27:K27"/>
    <mergeCell ref="C28:E28"/>
    <mergeCell ref="F28:G28"/>
    <mergeCell ref="I28:K28"/>
    <mergeCell ref="B19:M19"/>
    <mergeCell ref="B20:M20"/>
    <mergeCell ref="C21:E21"/>
    <mergeCell ref="F21:G21"/>
    <mergeCell ref="I21:K21"/>
    <mergeCell ref="M21:M30"/>
    <mergeCell ref="C22:E22"/>
    <mergeCell ref="C25:E25"/>
    <mergeCell ref="F25:G25"/>
    <mergeCell ref="I25:K25"/>
    <mergeCell ref="C26:E26"/>
    <mergeCell ref="F26:G26"/>
    <mergeCell ref="I26:K26"/>
    <mergeCell ref="F22:G22"/>
    <mergeCell ref="I22:K22"/>
    <mergeCell ref="C23:E23"/>
    <mergeCell ref="F23:G23"/>
    <mergeCell ref="I23:K23"/>
    <mergeCell ref="C24:E24"/>
    <mergeCell ref="F24:G24"/>
    <mergeCell ref="I24:K24"/>
    <mergeCell ref="C29:E29"/>
    <mergeCell ref="F29:G29"/>
    <mergeCell ref="H29:H30"/>
    <mergeCell ref="B15:L15"/>
    <mergeCell ref="B11:L11"/>
    <mergeCell ref="A12:A15"/>
    <mergeCell ref="B12:G12"/>
    <mergeCell ref="H12:J12"/>
    <mergeCell ref="K12:L12"/>
    <mergeCell ref="B16:L16"/>
    <mergeCell ref="B17:L17"/>
    <mergeCell ref="B18:L18"/>
    <mergeCell ref="A1:M1"/>
    <mergeCell ref="A2:M2"/>
    <mergeCell ref="B3:C3"/>
    <mergeCell ref="D3:H3"/>
    <mergeCell ref="J3:K3"/>
    <mergeCell ref="B4:L4"/>
    <mergeCell ref="M12:M14"/>
    <mergeCell ref="B13:C14"/>
    <mergeCell ref="D13:E13"/>
    <mergeCell ref="F13:G13"/>
    <mergeCell ref="H13:I13"/>
    <mergeCell ref="B5:L5"/>
    <mergeCell ref="B6:L6"/>
    <mergeCell ref="A7:A10"/>
    <mergeCell ref="B7:K7"/>
    <mergeCell ref="M7:M9"/>
    <mergeCell ref="B8:K8"/>
    <mergeCell ref="B9:K9"/>
    <mergeCell ref="B10:L10"/>
    <mergeCell ref="J13:L13"/>
    <mergeCell ref="D14:E14"/>
    <mergeCell ref="F14:G14"/>
    <mergeCell ref="H14:I14"/>
    <mergeCell ref="J14:L14"/>
  </mergeCells>
  <printOptions horizontalCentered="1"/>
  <pageMargins left="0.39370078740157483" right="0.39370078740157483" top="0.39370078740157483" bottom="0.39370078740157483" header="0" footer="0"/>
  <pageSetup paperSize="9" scale="80" orientation="portrait" r:id="rId1"/>
  <headerFooter>
    <oddFooter>&amp;Cwww.ashwinisharma.com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58"/>
  <sheetViews>
    <sheetView view="pageBreakPreview" zoomScale="115" zoomScaleNormal="115" zoomScaleSheetLayoutView="115" workbookViewId="0">
      <selection sqref="A1:M1"/>
    </sheetView>
  </sheetViews>
  <sheetFormatPr defaultRowHeight="15" customHeight="1" x14ac:dyDescent="0.25"/>
  <cols>
    <col min="1" max="1" width="6.28515625" style="21" customWidth="1"/>
    <col min="2" max="2" width="4.5703125" style="21" customWidth="1"/>
    <col min="3" max="3" width="8.42578125" style="21" customWidth="1"/>
    <col min="4" max="4" width="7" style="21" customWidth="1"/>
    <col min="5" max="5" width="9.7109375" style="21" customWidth="1"/>
    <col min="6" max="6" width="6.140625" style="21" customWidth="1"/>
    <col min="7" max="7" width="9.5703125" style="21" customWidth="1"/>
    <col min="8" max="8" width="5.42578125" style="21" customWidth="1"/>
    <col min="9" max="9" width="8.5703125" style="21" customWidth="1"/>
    <col min="10" max="10" width="8" style="21" customWidth="1"/>
    <col min="11" max="11" width="14.7109375" style="21" customWidth="1"/>
    <col min="12" max="12" width="10.42578125" style="21" customWidth="1"/>
    <col min="13" max="13" width="13.5703125" style="21" customWidth="1"/>
    <col min="14" max="16384" width="9.140625" style="21"/>
  </cols>
  <sheetData>
    <row r="1" spans="1:13" ht="21" customHeight="1" x14ac:dyDescent="0.25">
      <c r="A1" s="110" t="str">
        <f>Master!A1</f>
        <v>कार्यालय प्रधानाचार्य राजकीय उच्च माध्यमिक विद्यालय, रूपपुरा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2"/>
    </row>
    <row r="2" spans="1:13" ht="20.25" customHeight="1" x14ac:dyDescent="0.25">
      <c r="A2" s="113" t="s">
        <v>155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5"/>
    </row>
    <row r="3" spans="1:13" ht="15" customHeight="1" x14ac:dyDescent="0.25">
      <c r="A3" s="22">
        <v>1</v>
      </c>
      <c r="B3" s="116" t="s">
        <v>156</v>
      </c>
      <c r="C3" s="117"/>
      <c r="D3" s="118" t="str">
        <f>Master!B4</f>
        <v>Ashwini Kumar Sharma</v>
      </c>
      <c r="E3" s="119"/>
      <c r="F3" s="119"/>
      <c r="G3" s="119"/>
      <c r="H3" s="120"/>
      <c r="I3" s="26" t="s">
        <v>157</v>
      </c>
      <c r="J3" s="121" t="str">
        <f>Master!D4</f>
        <v>वरिष्ठ अध्यापक</v>
      </c>
      <c r="K3" s="122"/>
      <c r="L3" s="26" t="s">
        <v>158</v>
      </c>
      <c r="M3" s="23" t="str">
        <f>Master!B6</f>
        <v>AAAA9456A</v>
      </c>
    </row>
    <row r="4" spans="1:13" ht="15" customHeight="1" x14ac:dyDescent="0.25">
      <c r="A4" s="22">
        <v>2</v>
      </c>
      <c r="B4" s="116" t="s">
        <v>159</v>
      </c>
      <c r="C4" s="123"/>
      <c r="D4" s="123"/>
      <c r="E4" s="123"/>
      <c r="F4" s="123"/>
      <c r="G4" s="123"/>
      <c r="H4" s="123"/>
      <c r="I4" s="123"/>
      <c r="J4" s="123"/>
      <c r="K4" s="123"/>
      <c r="L4" s="117"/>
      <c r="M4" s="24">
        <f>'Tax Calculaton Old'!M4</f>
        <v>727860</v>
      </c>
    </row>
    <row r="5" spans="1:13" ht="15" customHeight="1" x14ac:dyDescent="0.25">
      <c r="A5" s="22">
        <v>3</v>
      </c>
      <c r="B5" s="134" t="s">
        <v>160</v>
      </c>
      <c r="C5" s="135"/>
      <c r="D5" s="135"/>
      <c r="E5" s="135"/>
      <c r="F5" s="135"/>
      <c r="G5" s="135"/>
      <c r="H5" s="135"/>
      <c r="I5" s="135"/>
      <c r="J5" s="135"/>
      <c r="K5" s="135"/>
      <c r="L5" s="136"/>
      <c r="M5" s="24">
        <f>SUM('Other Ded.'!D3,'Other Ded.'!G19)</f>
        <v>0</v>
      </c>
    </row>
    <row r="6" spans="1:13" ht="15" customHeight="1" x14ac:dyDescent="0.25">
      <c r="A6" s="22">
        <v>4</v>
      </c>
      <c r="B6" s="137" t="s">
        <v>161</v>
      </c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24">
        <f>M4-M5</f>
        <v>727860</v>
      </c>
    </row>
    <row r="7" spans="1:13" ht="15" customHeight="1" x14ac:dyDescent="0.25">
      <c r="A7" s="138">
        <v>5</v>
      </c>
      <c r="B7" s="141" t="s">
        <v>162</v>
      </c>
      <c r="C7" s="141"/>
      <c r="D7" s="141"/>
      <c r="E7" s="141"/>
      <c r="F7" s="141"/>
      <c r="G7" s="141"/>
      <c r="H7" s="141"/>
      <c r="I7" s="141"/>
      <c r="J7" s="141"/>
      <c r="K7" s="141"/>
      <c r="L7" s="25">
        <v>0</v>
      </c>
      <c r="M7" s="181"/>
    </row>
    <row r="8" spans="1:13" ht="15" customHeight="1" x14ac:dyDescent="0.25">
      <c r="A8" s="139"/>
      <c r="B8" s="141" t="s">
        <v>163</v>
      </c>
      <c r="C8" s="141"/>
      <c r="D8" s="141"/>
      <c r="E8" s="141"/>
      <c r="F8" s="141"/>
      <c r="G8" s="141"/>
      <c r="H8" s="141"/>
      <c r="I8" s="141"/>
      <c r="J8" s="141"/>
      <c r="K8" s="141"/>
      <c r="L8" s="25">
        <f>'Other Ded.'!G4</f>
        <v>0</v>
      </c>
      <c r="M8" s="181"/>
    </row>
    <row r="9" spans="1:13" ht="15" customHeight="1" x14ac:dyDescent="0.25">
      <c r="A9" s="139"/>
      <c r="B9" s="141" t="s">
        <v>164</v>
      </c>
      <c r="C9" s="141"/>
      <c r="D9" s="141"/>
      <c r="E9" s="141"/>
      <c r="F9" s="141"/>
      <c r="G9" s="141"/>
      <c r="H9" s="141"/>
      <c r="I9" s="141"/>
      <c r="J9" s="141"/>
      <c r="K9" s="141"/>
      <c r="L9" s="25">
        <f>'Other Ded.'!G5</f>
        <v>0</v>
      </c>
      <c r="M9" s="181"/>
    </row>
    <row r="10" spans="1:13" ht="15" customHeight="1" x14ac:dyDescent="0.25">
      <c r="A10" s="140"/>
      <c r="B10" s="137" t="s">
        <v>165</v>
      </c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24">
        <f>SUM(L7:L9)</f>
        <v>0</v>
      </c>
    </row>
    <row r="11" spans="1:13" ht="15" customHeight="1" x14ac:dyDescent="0.25">
      <c r="A11" s="22">
        <v>6</v>
      </c>
      <c r="B11" s="146" t="s">
        <v>166</v>
      </c>
      <c r="C11" s="147"/>
      <c r="D11" s="147"/>
      <c r="E11" s="147"/>
      <c r="F11" s="147"/>
      <c r="G11" s="147"/>
      <c r="H11" s="147"/>
      <c r="I11" s="147"/>
      <c r="J11" s="147"/>
      <c r="K11" s="147"/>
      <c r="L11" s="148"/>
      <c r="M11" s="24">
        <f>M6-M10</f>
        <v>727860</v>
      </c>
    </row>
    <row r="12" spans="1:13" ht="15" customHeight="1" x14ac:dyDescent="0.25">
      <c r="A12" s="138">
        <v>7</v>
      </c>
      <c r="B12" s="149" t="s">
        <v>167</v>
      </c>
      <c r="C12" s="149"/>
      <c r="D12" s="149"/>
      <c r="E12" s="149"/>
      <c r="F12" s="149"/>
      <c r="G12" s="149"/>
      <c r="H12" s="132" t="s">
        <v>168</v>
      </c>
      <c r="I12" s="142"/>
      <c r="J12" s="133"/>
      <c r="K12" s="182">
        <v>0</v>
      </c>
      <c r="L12" s="183"/>
      <c r="M12" s="181"/>
    </row>
    <row r="13" spans="1:13" ht="15" customHeight="1" x14ac:dyDescent="0.25">
      <c r="A13" s="139"/>
      <c r="B13" s="127" t="s">
        <v>169</v>
      </c>
      <c r="C13" s="128"/>
      <c r="D13" s="131" t="s">
        <v>170</v>
      </c>
      <c r="E13" s="131"/>
      <c r="F13" s="131" t="s">
        <v>171</v>
      </c>
      <c r="G13" s="131"/>
      <c r="H13" s="132" t="s">
        <v>172</v>
      </c>
      <c r="I13" s="133"/>
      <c r="J13" s="132" t="s">
        <v>173</v>
      </c>
      <c r="K13" s="142"/>
      <c r="L13" s="133"/>
      <c r="M13" s="181"/>
    </row>
    <row r="14" spans="1:13" ht="15" customHeight="1" x14ac:dyDescent="0.25">
      <c r="A14" s="139"/>
      <c r="B14" s="129"/>
      <c r="C14" s="130"/>
      <c r="D14" s="143">
        <v>0</v>
      </c>
      <c r="E14" s="144"/>
      <c r="F14" s="143">
        <v>0</v>
      </c>
      <c r="G14" s="144"/>
      <c r="H14" s="143">
        <v>0</v>
      </c>
      <c r="I14" s="144"/>
      <c r="J14" s="143">
        <f>SUM(D14:I14)</f>
        <v>0</v>
      </c>
      <c r="K14" s="184"/>
      <c r="L14" s="185"/>
      <c r="M14" s="181"/>
    </row>
    <row r="15" spans="1:13" ht="15" customHeight="1" x14ac:dyDescent="0.25">
      <c r="A15" s="140"/>
      <c r="B15" s="137" t="s">
        <v>174</v>
      </c>
      <c r="C15" s="137"/>
      <c r="D15" s="137"/>
      <c r="E15" s="137"/>
      <c r="F15" s="137"/>
      <c r="G15" s="137"/>
      <c r="H15" s="137"/>
      <c r="I15" s="137"/>
      <c r="J15" s="137"/>
      <c r="K15" s="137"/>
      <c r="L15" s="137"/>
      <c r="M15" s="24">
        <f>$K$12+$J$14</f>
        <v>0</v>
      </c>
    </row>
    <row r="16" spans="1:13" ht="15" customHeight="1" x14ac:dyDescent="0.25">
      <c r="A16" s="22">
        <v>8</v>
      </c>
      <c r="B16" s="150" t="s">
        <v>175</v>
      </c>
      <c r="C16" s="151"/>
      <c r="D16" s="151"/>
      <c r="E16" s="151"/>
      <c r="F16" s="151"/>
      <c r="G16" s="151"/>
      <c r="H16" s="151"/>
      <c r="I16" s="151"/>
      <c r="J16" s="151"/>
      <c r="K16" s="151"/>
      <c r="L16" s="152"/>
      <c r="M16" s="24">
        <f>$M$11-$M$15</f>
        <v>727860</v>
      </c>
    </row>
    <row r="17" spans="1:13" ht="15" customHeight="1" x14ac:dyDescent="0.25">
      <c r="A17" s="22">
        <v>9</v>
      </c>
      <c r="B17" s="146" t="s">
        <v>176</v>
      </c>
      <c r="C17" s="147"/>
      <c r="D17" s="147"/>
      <c r="E17" s="147"/>
      <c r="F17" s="147"/>
      <c r="G17" s="147"/>
      <c r="H17" s="147"/>
      <c r="I17" s="147"/>
      <c r="J17" s="147"/>
      <c r="K17" s="147"/>
      <c r="L17" s="148"/>
      <c r="M17" s="24">
        <f>'Other Ded.'!K5</f>
        <v>0</v>
      </c>
    </row>
    <row r="18" spans="1:13" ht="15" customHeight="1" x14ac:dyDescent="0.25">
      <c r="A18" s="22">
        <v>10</v>
      </c>
      <c r="B18" s="153" t="s">
        <v>177</v>
      </c>
      <c r="C18" s="154"/>
      <c r="D18" s="154"/>
      <c r="E18" s="154"/>
      <c r="F18" s="154"/>
      <c r="G18" s="154"/>
      <c r="H18" s="154"/>
      <c r="I18" s="154"/>
      <c r="J18" s="154"/>
      <c r="K18" s="154"/>
      <c r="L18" s="155"/>
      <c r="M18" s="24">
        <f>SUM(M16:M17)</f>
        <v>727860</v>
      </c>
    </row>
    <row r="19" spans="1:13" ht="18" customHeight="1" x14ac:dyDescent="0.25">
      <c r="A19" s="22">
        <v>11</v>
      </c>
      <c r="B19" s="156" t="s">
        <v>178</v>
      </c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8"/>
    </row>
    <row r="20" spans="1:13" ht="18" customHeight="1" x14ac:dyDescent="0.25">
      <c r="A20" s="22"/>
      <c r="B20" s="149" t="s">
        <v>243</v>
      </c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24">
        <v>0</v>
      </c>
    </row>
    <row r="21" spans="1:13" ht="18" customHeight="1" x14ac:dyDescent="0.25">
      <c r="A21" s="22"/>
      <c r="B21" s="149" t="s">
        <v>244</v>
      </c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24">
        <f>'Other Ded.'!J6</f>
        <v>61823</v>
      </c>
    </row>
    <row r="22" spans="1:13" ht="18" customHeight="1" x14ac:dyDescent="0.25">
      <c r="A22" s="22"/>
      <c r="B22" s="149" t="s">
        <v>245</v>
      </c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24">
        <v>0</v>
      </c>
    </row>
    <row r="23" spans="1:13" ht="15" customHeight="1" x14ac:dyDescent="0.25">
      <c r="A23" s="22"/>
      <c r="B23" s="137" t="s">
        <v>202</v>
      </c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24">
        <f>SUM(M20:M22)</f>
        <v>61823</v>
      </c>
    </row>
    <row r="24" spans="1:13" ht="15" customHeight="1" x14ac:dyDescent="0.25">
      <c r="A24" s="22">
        <v>12</v>
      </c>
      <c r="B24" s="149" t="s">
        <v>203</v>
      </c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24"/>
    </row>
    <row r="25" spans="1:13" ht="15" customHeight="1" x14ac:dyDescent="0.25">
      <c r="A25" s="22"/>
      <c r="B25" s="29">
        <v>1</v>
      </c>
      <c r="C25" s="159" t="s">
        <v>204</v>
      </c>
      <c r="D25" s="141"/>
      <c r="E25" s="141"/>
      <c r="F25" s="141"/>
      <c r="G25" s="141"/>
      <c r="H25" s="141"/>
      <c r="I25" s="141"/>
      <c r="J25" s="141"/>
      <c r="K25" s="141"/>
      <c r="L25" s="141"/>
      <c r="M25" s="24">
        <v>0</v>
      </c>
    </row>
    <row r="26" spans="1:13" ht="15" customHeight="1" x14ac:dyDescent="0.25">
      <c r="A26" s="22"/>
      <c r="B26" s="29">
        <v>2</v>
      </c>
      <c r="C26" s="159" t="s">
        <v>246</v>
      </c>
      <c r="D26" s="141"/>
      <c r="E26" s="141"/>
      <c r="F26" s="141"/>
      <c r="G26" s="141"/>
      <c r="H26" s="141"/>
      <c r="I26" s="141"/>
      <c r="J26" s="141"/>
      <c r="K26" s="141"/>
      <c r="L26" s="141"/>
      <c r="M26" s="24">
        <v>0</v>
      </c>
    </row>
    <row r="27" spans="1:13" ht="15" customHeight="1" x14ac:dyDescent="0.25">
      <c r="A27" s="22"/>
      <c r="B27" s="29">
        <v>3</v>
      </c>
      <c r="C27" s="159" t="s">
        <v>206</v>
      </c>
      <c r="D27" s="141"/>
      <c r="E27" s="141"/>
      <c r="F27" s="141"/>
      <c r="G27" s="141"/>
      <c r="H27" s="141"/>
      <c r="I27" s="141"/>
      <c r="J27" s="141"/>
      <c r="K27" s="141"/>
      <c r="L27" s="141"/>
      <c r="M27" s="24">
        <v>0</v>
      </c>
    </row>
    <row r="28" spans="1:13" ht="15" customHeight="1" x14ac:dyDescent="0.25">
      <c r="A28" s="22"/>
      <c r="B28" s="29">
        <v>4</v>
      </c>
      <c r="C28" s="159" t="s">
        <v>207</v>
      </c>
      <c r="D28" s="141"/>
      <c r="E28" s="141"/>
      <c r="F28" s="141"/>
      <c r="G28" s="141"/>
      <c r="H28" s="141"/>
      <c r="I28" s="141"/>
      <c r="J28" s="141"/>
      <c r="K28" s="141"/>
      <c r="L28" s="141"/>
      <c r="M28" s="24">
        <v>0</v>
      </c>
    </row>
    <row r="29" spans="1:13" ht="15" customHeight="1" x14ac:dyDescent="0.25">
      <c r="A29" s="22"/>
      <c r="B29" s="29">
        <v>5</v>
      </c>
      <c r="C29" s="159" t="s">
        <v>208</v>
      </c>
      <c r="D29" s="141"/>
      <c r="E29" s="141"/>
      <c r="F29" s="141"/>
      <c r="G29" s="141"/>
      <c r="H29" s="141"/>
      <c r="I29" s="141"/>
      <c r="J29" s="141"/>
      <c r="K29" s="141"/>
      <c r="L29" s="141"/>
      <c r="M29" s="24">
        <v>0</v>
      </c>
    </row>
    <row r="30" spans="1:13" ht="15" customHeight="1" x14ac:dyDescent="0.25">
      <c r="A30" s="22"/>
      <c r="B30" s="29">
        <v>6</v>
      </c>
      <c r="C30" s="159" t="s">
        <v>209</v>
      </c>
      <c r="D30" s="141"/>
      <c r="E30" s="141"/>
      <c r="F30" s="141"/>
      <c r="G30" s="141"/>
      <c r="H30" s="141"/>
      <c r="I30" s="141"/>
      <c r="J30" s="141"/>
      <c r="K30" s="141"/>
      <c r="L30" s="141"/>
      <c r="M30" s="24">
        <v>0</v>
      </c>
    </row>
    <row r="31" spans="1:13" ht="15" customHeight="1" x14ac:dyDescent="0.25">
      <c r="A31" s="22"/>
      <c r="B31" s="29">
        <v>7</v>
      </c>
      <c r="C31" s="159" t="s">
        <v>210</v>
      </c>
      <c r="D31" s="141"/>
      <c r="E31" s="141"/>
      <c r="F31" s="141"/>
      <c r="G31" s="141"/>
      <c r="H31" s="141"/>
      <c r="I31" s="141"/>
      <c r="J31" s="141"/>
      <c r="K31" s="141"/>
      <c r="L31" s="141"/>
      <c r="M31" s="24">
        <v>0</v>
      </c>
    </row>
    <row r="32" spans="1:13" ht="15" customHeight="1" x14ac:dyDescent="0.25">
      <c r="A32" s="22"/>
      <c r="B32" s="29">
        <v>8</v>
      </c>
      <c r="C32" s="159" t="s">
        <v>211</v>
      </c>
      <c r="D32" s="141"/>
      <c r="E32" s="141"/>
      <c r="F32" s="141"/>
      <c r="G32" s="141"/>
      <c r="H32" s="141"/>
      <c r="I32" s="141"/>
      <c r="J32" s="141"/>
      <c r="K32" s="141"/>
      <c r="L32" s="141"/>
      <c r="M32" s="24">
        <v>0</v>
      </c>
    </row>
    <row r="33" spans="1:13" ht="15" customHeight="1" x14ac:dyDescent="0.25">
      <c r="A33" s="22"/>
      <c r="B33" s="29">
        <v>9</v>
      </c>
      <c r="C33" s="159" t="s">
        <v>212</v>
      </c>
      <c r="D33" s="141"/>
      <c r="E33" s="141"/>
      <c r="F33" s="141"/>
      <c r="G33" s="141"/>
      <c r="H33" s="141"/>
      <c r="I33" s="141"/>
      <c r="J33" s="141"/>
      <c r="K33" s="141"/>
      <c r="L33" s="141"/>
      <c r="M33" s="24">
        <v>0</v>
      </c>
    </row>
    <row r="34" spans="1:13" ht="15" customHeight="1" x14ac:dyDescent="0.25">
      <c r="A34" s="22"/>
      <c r="B34" s="150" t="s">
        <v>213</v>
      </c>
      <c r="C34" s="151"/>
      <c r="D34" s="151"/>
      <c r="E34" s="151"/>
      <c r="F34" s="151"/>
      <c r="G34" s="151"/>
      <c r="H34" s="151"/>
      <c r="I34" s="151"/>
      <c r="J34" s="151"/>
      <c r="K34" s="151"/>
      <c r="L34" s="152"/>
      <c r="M34" s="24">
        <f>SUM(M25:M33)</f>
        <v>0</v>
      </c>
    </row>
    <row r="35" spans="1:13" ht="15" customHeight="1" x14ac:dyDescent="0.25">
      <c r="A35" s="22">
        <v>13</v>
      </c>
      <c r="B35" s="141" t="s">
        <v>214</v>
      </c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24">
        <f>SUM($M$23+$M$34)</f>
        <v>61823</v>
      </c>
    </row>
    <row r="36" spans="1:13" ht="15" customHeight="1" x14ac:dyDescent="0.25">
      <c r="A36" s="22">
        <v>14</v>
      </c>
      <c r="B36" s="168" t="s">
        <v>215</v>
      </c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24">
        <f>$M$18-$M$35</f>
        <v>666037</v>
      </c>
    </row>
    <row r="37" spans="1:13" ht="15" customHeight="1" x14ac:dyDescent="0.25">
      <c r="A37" s="22">
        <v>15</v>
      </c>
      <c r="B37" s="141" t="s">
        <v>216</v>
      </c>
      <c r="C37" s="141"/>
      <c r="D37" s="141"/>
      <c r="E37" s="141"/>
      <c r="F37" s="141"/>
      <c r="G37" s="141"/>
      <c r="H37" s="141"/>
      <c r="I37" s="141"/>
      <c r="J37" s="141"/>
      <c r="K37" s="141"/>
      <c r="L37" s="141"/>
      <c r="M37" s="24">
        <f>ROUND($M$36,-1)</f>
        <v>666040</v>
      </c>
    </row>
    <row r="38" spans="1:13" ht="15" customHeight="1" x14ac:dyDescent="0.25">
      <c r="A38" s="22">
        <v>16</v>
      </c>
      <c r="B38" s="141" t="s">
        <v>217</v>
      </c>
      <c r="C38" s="141"/>
      <c r="D38" s="141"/>
      <c r="E38" s="141"/>
      <c r="F38" s="141"/>
      <c r="G38" s="141"/>
      <c r="H38" s="141"/>
      <c r="I38" s="141"/>
      <c r="J38" s="141"/>
      <c r="K38" s="141"/>
      <c r="L38" s="141"/>
      <c r="M38" s="24"/>
    </row>
    <row r="39" spans="1:13" ht="15" customHeight="1" x14ac:dyDescent="0.25">
      <c r="A39" s="22"/>
      <c r="B39" s="131" t="s">
        <v>218</v>
      </c>
      <c r="C39" s="131"/>
      <c r="D39" s="131"/>
      <c r="E39" s="131"/>
      <c r="F39" s="131" t="s">
        <v>219</v>
      </c>
      <c r="G39" s="131"/>
      <c r="H39" s="131"/>
      <c r="I39" s="131"/>
      <c r="J39" s="131" t="s">
        <v>220</v>
      </c>
      <c r="K39" s="131"/>
      <c r="L39" s="131"/>
      <c r="M39" s="24"/>
    </row>
    <row r="40" spans="1:13" ht="18" customHeight="1" x14ac:dyDescent="0.25">
      <c r="A40" s="22"/>
      <c r="B40" s="156" t="s">
        <v>221</v>
      </c>
      <c r="C40" s="157"/>
      <c r="D40" s="159"/>
      <c r="E40" s="26" t="s">
        <v>222</v>
      </c>
      <c r="F40" s="156" t="s">
        <v>223</v>
      </c>
      <c r="G40" s="157"/>
      <c r="H40" s="159"/>
      <c r="I40" s="26" t="s">
        <v>222</v>
      </c>
      <c r="J40" s="156"/>
      <c r="K40" s="159"/>
      <c r="L40" s="26" t="s">
        <v>222</v>
      </c>
      <c r="M40" s="24">
        <v>0</v>
      </c>
    </row>
    <row r="41" spans="1:13" ht="18" customHeight="1" x14ac:dyDescent="0.25">
      <c r="A41" s="22"/>
      <c r="B41" s="156" t="s">
        <v>247</v>
      </c>
      <c r="C41" s="157"/>
      <c r="D41" s="159"/>
      <c r="E41" s="30">
        <v>0.05</v>
      </c>
      <c r="F41" s="156" t="s">
        <v>248</v>
      </c>
      <c r="G41" s="157"/>
      <c r="H41" s="159"/>
      <c r="I41" s="30">
        <v>0.05</v>
      </c>
      <c r="J41" s="156" t="s">
        <v>226</v>
      </c>
      <c r="K41" s="159"/>
      <c r="L41" s="30">
        <v>0.05</v>
      </c>
      <c r="M41" s="24">
        <f>ROUND(IF(Master!F12="NO",IF(M37&lt;250001,0,IF(M37&gt;500000,12500,((M37-250000)*0.05))),IF(M37&lt;300001,0,IF(M37&gt;500000,10000,((M37-300000)*0.05)))),0)</f>
        <v>12500</v>
      </c>
    </row>
    <row r="42" spans="1:13" ht="18" customHeight="1" x14ac:dyDescent="0.25">
      <c r="A42" s="22"/>
      <c r="B42" s="156" t="s">
        <v>249</v>
      </c>
      <c r="C42" s="157"/>
      <c r="D42" s="159"/>
      <c r="E42" s="30">
        <v>0.1</v>
      </c>
      <c r="F42" s="156" t="s">
        <v>249</v>
      </c>
      <c r="G42" s="157"/>
      <c r="H42" s="159"/>
      <c r="I42" s="30">
        <v>0.1</v>
      </c>
      <c r="J42" s="156" t="s">
        <v>227</v>
      </c>
      <c r="K42" s="159"/>
      <c r="L42" s="30">
        <v>0.1</v>
      </c>
      <c r="M42" s="24">
        <f>IF(M37&lt;500001,0,IF(M37&gt;750000,25000,((M37-500000)*0.1)))</f>
        <v>16604</v>
      </c>
    </row>
    <row r="43" spans="1:13" ht="18" customHeight="1" x14ac:dyDescent="0.25">
      <c r="A43" s="22"/>
      <c r="B43" s="156" t="s">
        <v>250</v>
      </c>
      <c r="C43" s="157"/>
      <c r="D43" s="159"/>
      <c r="E43" s="30">
        <v>0.15</v>
      </c>
      <c r="F43" s="156" t="s">
        <v>250</v>
      </c>
      <c r="G43" s="157"/>
      <c r="H43" s="159"/>
      <c r="I43" s="30">
        <v>0.15</v>
      </c>
      <c r="J43" s="156" t="s">
        <v>228</v>
      </c>
      <c r="K43" s="159"/>
      <c r="L43" s="30">
        <v>0.15</v>
      </c>
      <c r="M43" s="24">
        <f>IF(M37&lt;750001,0,IF(M37&gt;1000000,37500,((M37-750000)*0.15)))</f>
        <v>0</v>
      </c>
    </row>
    <row r="44" spans="1:13" ht="18" customHeight="1" x14ac:dyDescent="0.25">
      <c r="A44" s="22"/>
      <c r="B44" s="156" t="s">
        <v>251</v>
      </c>
      <c r="C44" s="157"/>
      <c r="D44" s="159"/>
      <c r="E44" s="30">
        <v>0.2</v>
      </c>
      <c r="F44" s="156" t="s">
        <v>251</v>
      </c>
      <c r="G44" s="157"/>
      <c r="H44" s="159"/>
      <c r="I44" s="30">
        <v>0.2</v>
      </c>
      <c r="J44" s="156" t="s">
        <v>228</v>
      </c>
      <c r="K44" s="159"/>
      <c r="L44" s="30">
        <v>0.2</v>
      </c>
      <c r="M44" s="24">
        <f>IF(M37&lt;1000001,0,IF(M37&gt;1250000,50000,((M37-1000000)*0.2)))</f>
        <v>0</v>
      </c>
    </row>
    <row r="45" spans="1:13" ht="18" customHeight="1" x14ac:dyDescent="0.25">
      <c r="A45" s="22"/>
      <c r="B45" s="156" t="s">
        <v>252</v>
      </c>
      <c r="C45" s="157"/>
      <c r="D45" s="159"/>
      <c r="E45" s="30">
        <v>0.25</v>
      </c>
      <c r="F45" s="156" t="s">
        <v>252</v>
      </c>
      <c r="G45" s="157"/>
      <c r="H45" s="159"/>
      <c r="I45" s="30">
        <v>0.25</v>
      </c>
      <c r="J45" s="156" t="s">
        <v>228</v>
      </c>
      <c r="K45" s="159"/>
      <c r="L45" s="30">
        <v>0.25</v>
      </c>
      <c r="M45" s="24">
        <f>IF(M37&lt;1250001,0,IF(M37&gt;1500000,62500,((M37-1250000)*0.25)))</f>
        <v>0</v>
      </c>
    </row>
    <row r="46" spans="1:13" ht="18" customHeight="1" x14ac:dyDescent="0.25">
      <c r="A46" s="22"/>
      <c r="B46" s="156" t="s">
        <v>253</v>
      </c>
      <c r="C46" s="157"/>
      <c r="D46" s="159"/>
      <c r="E46" s="30">
        <v>0.3</v>
      </c>
      <c r="F46" s="156" t="s">
        <v>253</v>
      </c>
      <c r="G46" s="157"/>
      <c r="H46" s="159"/>
      <c r="I46" s="30">
        <v>0.3</v>
      </c>
      <c r="J46" s="156" t="s">
        <v>253</v>
      </c>
      <c r="K46" s="159"/>
      <c r="L46" s="30">
        <v>0.3</v>
      </c>
      <c r="M46" s="24">
        <f>IF(M37&lt;1500001,0,(M37-1500000)*0.3)</f>
        <v>0</v>
      </c>
    </row>
    <row r="47" spans="1:13" ht="15" customHeight="1" x14ac:dyDescent="0.25">
      <c r="A47" s="22"/>
      <c r="B47" s="26">
        <v>1</v>
      </c>
      <c r="C47" s="156" t="s">
        <v>229</v>
      </c>
      <c r="D47" s="157"/>
      <c r="E47" s="157"/>
      <c r="F47" s="157"/>
      <c r="G47" s="157"/>
      <c r="H47" s="157"/>
      <c r="I47" s="157"/>
      <c r="J47" s="157"/>
      <c r="K47" s="157"/>
      <c r="L47" s="159"/>
      <c r="M47" s="24">
        <f>SUM(M40:M46)</f>
        <v>29104</v>
      </c>
    </row>
    <row r="48" spans="1:13" ht="15" customHeight="1" x14ac:dyDescent="0.25">
      <c r="A48" s="22"/>
      <c r="B48" s="26">
        <v>2</v>
      </c>
      <c r="C48" s="156" t="s">
        <v>230</v>
      </c>
      <c r="D48" s="157"/>
      <c r="E48" s="157"/>
      <c r="F48" s="157"/>
      <c r="G48" s="157"/>
      <c r="H48" s="157"/>
      <c r="I48" s="157"/>
      <c r="J48" s="157"/>
      <c r="K48" s="157"/>
      <c r="L48" s="159"/>
      <c r="M48" s="24">
        <f>IF(M37&gt;500000,0,IF(M47&lt;12501,M47,12500))</f>
        <v>0</v>
      </c>
    </row>
    <row r="49" spans="1:14" ht="15" customHeight="1" x14ac:dyDescent="0.25">
      <c r="A49" s="22"/>
      <c r="B49" s="26">
        <v>3</v>
      </c>
      <c r="C49" s="156" t="s">
        <v>231</v>
      </c>
      <c r="D49" s="157"/>
      <c r="E49" s="157"/>
      <c r="F49" s="157"/>
      <c r="G49" s="157"/>
      <c r="H49" s="157"/>
      <c r="I49" s="157"/>
      <c r="J49" s="157"/>
      <c r="K49" s="157"/>
      <c r="L49" s="159"/>
      <c r="M49" s="24">
        <f>M47-M48</f>
        <v>29104</v>
      </c>
    </row>
    <row r="50" spans="1:14" ht="15" customHeight="1" x14ac:dyDescent="0.25">
      <c r="A50" s="22"/>
      <c r="B50" s="26">
        <v>4</v>
      </c>
      <c r="C50" s="156" t="s">
        <v>232</v>
      </c>
      <c r="D50" s="157"/>
      <c r="E50" s="157"/>
      <c r="F50" s="157"/>
      <c r="G50" s="157"/>
      <c r="H50" s="157"/>
      <c r="I50" s="157"/>
      <c r="J50" s="157"/>
      <c r="K50" s="157"/>
      <c r="L50" s="159"/>
      <c r="M50" s="24">
        <f>ROUND(M49*0.04,0)</f>
        <v>1164</v>
      </c>
    </row>
    <row r="51" spans="1:14" ht="15" customHeight="1" x14ac:dyDescent="0.25">
      <c r="A51" s="22"/>
      <c r="B51" s="146" t="s">
        <v>233</v>
      </c>
      <c r="C51" s="147"/>
      <c r="D51" s="147"/>
      <c r="E51" s="147"/>
      <c r="F51" s="147"/>
      <c r="G51" s="147"/>
      <c r="H51" s="147"/>
      <c r="I51" s="147"/>
      <c r="J51" s="147"/>
      <c r="K51" s="147"/>
      <c r="L51" s="148"/>
      <c r="M51" s="24">
        <f>SUM(M49:M50)</f>
        <v>30268</v>
      </c>
    </row>
    <row r="52" spans="1:14" ht="15" customHeight="1" x14ac:dyDescent="0.25">
      <c r="A52" s="22">
        <v>17</v>
      </c>
      <c r="B52" s="141" t="s">
        <v>234</v>
      </c>
      <c r="C52" s="141"/>
      <c r="D52" s="141"/>
      <c r="E52" s="141"/>
      <c r="F52" s="141"/>
      <c r="G52" s="141"/>
      <c r="H52" s="141"/>
      <c r="I52" s="141"/>
      <c r="J52" s="141"/>
      <c r="K52" s="141"/>
      <c r="L52" s="141"/>
      <c r="M52" s="24">
        <f>'Other Ded.'!G17</f>
        <v>0</v>
      </c>
    </row>
    <row r="53" spans="1:14" ht="15" customHeight="1" x14ac:dyDescent="0.25">
      <c r="A53" s="22">
        <v>18</v>
      </c>
      <c r="B53" s="141" t="s">
        <v>235</v>
      </c>
      <c r="C53" s="141"/>
      <c r="D53" s="141"/>
      <c r="E53" s="141"/>
      <c r="F53" s="141"/>
      <c r="G53" s="141"/>
      <c r="H53" s="141"/>
      <c r="I53" s="141"/>
      <c r="J53" s="141"/>
      <c r="K53" s="141"/>
      <c r="L53" s="141"/>
      <c r="M53" s="24">
        <f>M51-M52</f>
        <v>30268</v>
      </c>
    </row>
    <row r="54" spans="1:14" ht="37.5" customHeight="1" x14ac:dyDescent="0.25">
      <c r="A54" s="176">
        <v>19</v>
      </c>
      <c r="B54" s="178" t="s">
        <v>236</v>
      </c>
      <c r="C54" s="178"/>
      <c r="D54" s="179" t="s">
        <v>237</v>
      </c>
      <c r="E54" s="180"/>
      <c r="F54" s="179" t="s">
        <v>238</v>
      </c>
      <c r="G54" s="180"/>
      <c r="H54" s="179" t="s">
        <v>239</v>
      </c>
      <c r="I54" s="180"/>
      <c r="J54" s="179" t="s">
        <v>240</v>
      </c>
      <c r="K54" s="180"/>
      <c r="L54" s="31" t="s">
        <v>241</v>
      </c>
      <c r="M54" s="32" t="s">
        <v>242</v>
      </c>
    </row>
    <row r="55" spans="1:14" ht="20.100000000000001" customHeight="1" x14ac:dyDescent="0.25">
      <c r="A55" s="177"/>
      <c r="B55" s="178"/>
      <c r="C55" s="178"/>
      <c r="D55" s="169">
        <f>SUM('GA 55 For Print'!$X$7:$X$13)</f>
        <v>0</v>
      </c>
      <c r="E55" s="170"/>
      <c r="F55" s="169">
        <f>SUM('GA 55 For Print'!$X$14:$X$16)</f>
        <v>0</v>
      </c>
      <c r="G55" s="170"/>
      <c r="H55" s="169" t="str">
        <f>'GA 55 For Print'!$X$17</f>
        <v/>
      </c>
      <c r="I55" s="170"/>
      <c r="J55" s="169" t="str">
        <f>'GA 55 For Print'!$X$18</f>
        <v/>
      </c>
      <c r="K55" s="170"/>
      <c r="L55" s="33">
        <f>'Other Ded.'!$G$18</f>
        <v>0</v>
      </c>
      <c r="M55" s="24">
        <f>SUM($D$63:$L$63)</f>
        <v>0</v>
      </c>
    </row>
    <row r="56" spans="1:14" ht="20.100000000000001" customHeight="1" x14ac:dyDescent="0.25">
      <c r="A56" s="171" t="str">
        <f>IF(M53&gt;M55,"Income Tax Payable",IF(M53&lt;M55,"Income Tax Refundable","Income Tax No Need"))</f>
        <v>Income Tax Payable</v>
      </c>
      <c r="B56" s="172"/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24">
        <f>M53-M55</f>
        <v>30268</v>
      </c>
    </row>
    <row r="57" spans="1:14" ht="15" customHeight="1" x14ac:dyDescent="0.25">
      <c r="A57" s="34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35"/>
    </row>
    <row r="58" spans="1:14" ht="15" customHeight="1" thickBot="1" x14ac:dyDescent="0.3">
      <c r="A58" s="173" t="s">
        <v>68</v>
      </c>
      <c r="B58" s="174"/>
      <c r="C58" s="174"/>
      <c r="D58" s="174"/>
      <c r="E58" s="36"/>
      <c r="F58" s="36"/>
      <c r="G58" s="36"/>
      <c r="H58" s="36"/>
      <c r="I58" s="36"/>
      <c r="J58" s="36"/>
      <c r="K58" s="36"/>
      <c r="L58" s="174" t="s">
        <v>69</v>
      </c>
      <c r="M58" s="175"/>
      <c r="N58" s="37"/>
    </row>
  </sheetData>
  <sheetProtection password="CE26" sheet="1" objects="1" scenarios="1" formatCells="0" formatColumns="0" formatRows="0" insertColumns="0"/>
  <mergeCells count="97">
    <mergeCell ref="A56:L56"/>
    <mergeCell ref="A58:D58"/>
    <mergeCell ref="L58:M58"/>
    <mergeCell ref="C50:L50"/>
    <mergeCell ref="B51:L51"/>
    <mergeCell ref="B52:L52"/>
    <mergeCell ref="B53:L53"/>
    <mergeCell ref="A54:A55"/>
    <mergeCell ref="B54:C55"/>
    <mergeCell ref="D54:E54"/>
    <mergeCell ref="F54:G54"/>
    <mergeCell ref="H54:I54"/>
    <mergeCell ref="J54:K54"/>
    <mergeCell ref="D55:E55"/>
    <mergeCell ref="F55:G55"/>
    <mergeCell ref="H55:I55"/>
    <mergeCell ref="J55:K55"/>
    <mergeCell ref="C49:L49"/>
    <mergeCell ref="B44:D44"/>
    <mergeCell ref="F44:H44"/>
    <mergeCell ref="J44:K44"/>
    <mergeCell ref="B45:D45"/>
    <mergeCell ref="F45:H45"/>
    <mergeCell ref="J45:K45"/>
    <mergeCell ref="B46:D46"/>
    <mergeCell ref="F46:H46"/>
    <mergeCell ref="J46:K46"/>
    <mergeCell ref="C47:L47"/>
    <mergeCell ref="C48:L48"/>
    <mergeCell ref="B42:D42"/>
    <mergeCell ref="F42:H42"/>
    <mergeCell ref="J42:K42"/>
    <mergeCell ref="B43:D43"/>
    <mergeCell ref="F43:H43"/>
    <mergeCell ref="J43:K43"/>
    <mergeCell ref="B40:D40"/>
    <mergeCell ref="F40:H40"/>
    <mergeCell ref="J40:K40"/>
    <mergeCell ref="B41:D41"/>
    <mergeCell ref="F41:H41"/>
    <mergeCell ref="J41:K41"/>
    <mergeCell ref="B39:E39"/>
    <mergeCell ref="F39:I39"/>
    <mergeCell ref="J39:L39"/>
    <mergeCell ref="C28:L28"/>
    <mergeCell ref="C29:L29"/>
    <mergeCell ref="C30:L30"/>
    <mergeCell ref="C31:L31"/>
    <mergeCell ref="C32:L32"/>
    <mergeCell ref="C33:L33"/>
    <mergeCell ref="B34:L34"/>
    <mergeCell ref="B35:L35"/>
    <mergeCell ref="B36:L36"/>
    <mergeCell ref="B37:L37"/>
    <mergeCell ref="B38:L38"/>
    <mergeCell ref="C27:L27"/>
    <mergeCell ref="B16:L16"/>
    <mergeCell ref="B17:L17"/>
    <mergeCell ref="B18:L18"/>
    <mergeCell ref="B19:M19"/>
    <mergeCell ref="B20:L20"/>
    <mergeCell ref="B21:L21"/>
    <mergeCell ref="B22:L22"/>
    <mergeCell ref="B23:L23"/>
    <mergeCell ref="B24:L24"/>
    <mergeCell ref="C25:L25"/>
    <mergeCell ref="C26:L26"/>
    <mergeCell ref="B15:L15"/>
    <mergeCell ref="B11:L11"/>
    <mergeCell ref="A12:A15"/>
    <mergeCell ref="B12:G12"/>
    <mergeCell ref="H12:J12"/>
    <mergeCell ref="K12:L12"/>
    <mergeCell ref="J13:L13"/>
    <mergeCell ref="D14:E14"/>
    <mergeCell ref="F14:G14"/>
    <mergeCell ref="H14:I14"/>
    <mergeCell ref="J14:L14"/>
    <mergeCell ref="M12:M14"/>
    <mergeCell ref="B13:C14"/>
    <mergeCell ref="D13:E13"/>
    <mergeCell ref="F13:G13"/>
    <mergeCell ref="H13:I13"/>
    <mergeCell ref="B5:L5"/>
    <mergeCell ref="B6:L6"/>
    <mergeCell ref="A7:A10"/>
    <mergeCell ref="B7:K7"/>
    <mergeCell ref="M7:M9"/>
    <mergeCell ref="B8:K8"/>
    <mergeCell ref="B9:K9"/>
    <mergeCell ref="B10:L10"/>
    <mergeCell ref="B4:L4"/>
    <mergeCell ref="A1:M1"/>
    <mergeCell ref="A2:M2"/>
    <mergeCell ref="B3:C3"/>
    <mergeCell ref="D3:H3"/>
    <mergeCell ref="J3:K3"/>
  </mergeCells>
  <pageMargins left="0.39370078740157483" right="0.39370078740157483" top="0.39370078740157483" bottom="0.39370078740157483" header="0" footer="0"/>
  <pageSetup paperSize="9" scale="84" orientation="portrait" r:id="rId1"/>
  <headerFooter>
    <oddFooter>&amp;Cwww.ashwinisharma.com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3:D49"/>
  <sheetViews>
    <sheetView zoomScaleNormal="100" zoomScaleSheetLayoutView="100" workbookViewId="0">
      <selection activeCell="G7" sqref="G7"/>
    </sheetView>
  </sheetViews>
  <sheetFormatPr defaultRowHeight="15" x14ac:dyDescent="0.25"/>
  <cols>
    <col min="1" max="1" width="9.140625" style="1"/>
    <col min="2" max="2" width="37.140625" style="1" bestFit="1" customWidth="1"/>
    <col min="3" max="3" width="9.140625" style="1"/>
    <col min="4" max="4" width="12.5703125" style="1" hidden="1" customWidth="1"/>
    <col min="5" max="16384" width="9.140625" style="1"/>
  </cols>
  <sheetData>
    <row r="3" spans="2:4" ht="20.100000000000001" customHeight="1" x14ac:dyDescent="0.25">
      <c r="B3" s="44" t="s">
        <v>70</v>
      </c>
      <c r="D3" s="45" t="s">
        <v>107</v>
      </c>
    </row>
    <row r="4" spans="2:4" ht="20.100000000000001" customHeight="1" x14ac:dyDescent="0.25">
      <c r="B4" s="3" t="s">
        <v>71</v>
      </c>
      <c r="D4" s="46" t="s">
        <v>106</v>
      </c>
    </row>
    <row r="5" spans="2:4" ht="20.100000000000001" customHeight="1" x14ac:dyDescent="0.25">
      <c r="B5" s="3" t="s">
        <v>72</v>
      </c>
      <c r="D5" s="46" t="s">
        <v>108</v>
      </c>
    </row>
    <row r="6" spans="2:4" ht="20.100000000000001" customHeight="1" x14ac:dyDescent="0.25">
      <c r="B6" s="47" t="s">
        <v>73</v>
      </c>
      <c r="D6" s="46" t="s">
        <v>109</v>
      </c>
    </row>
    <row r="7" spans="2:4" ht="20.100000000000001" customHeight="1" x14ac:dyDescent="0.25">
      <c r="B7" s="3" t="s">
        <v>74</v>
      </c>
      <c r="D7" s="46" t="s">
        <v>110</v>
      </c>
    </row>
    <row r="8" spans="2:4" ht="20.100000000000001" customHeight="1" x14ac:dyDescent="0.25">
      <c r="B8" s="3" t="s">
        <v>75</v>
      </c>
      <c r="D8" s="46" t="s">
        <v>111</v>
      </c>
    </row>
    <row r="9" spans="2:4" ht="20.100000000000001" customHeight="1" x14ac:dyDescent="0.25">
      <c r="B9" s="3" t="s">
        <v>76</v>
      </c>
      <c r="D9" s="46" t="s">
        <v>112</v>
      </c>
    </row>
    <row r="10" spans="2:4" ht="20.100000000000001" customHeight="1" x14ac:dyDescent="0.25">
      <c r="B10" s="3" t="s">
        <v>77</v>
      </c>
      <c r="D10" s="46" t="s">
        <v>113</v>
      </c>
    </row>
    <row r="11" spans="2:4" ht="20.100000000000001" customHeight="1" x14ac:dyDescent="0.25">
      <c r="B11" s="3" t="s">
        <v>78</v>
      </c>
      <c r="D11" s="46" t="s">
        <v>114</v>
      </c>
    </row>
    <row r="12" spans="2:4" ht="20.100000000000001" customHeight="1" x14ac:dyDescent="0.25">
      <c r="B12" s="47" t="s">
        <v>79</v>
      </c>
      <c r="D12" s="46" t="s">
        <v>115</v>
      </c>
    </row>
    <row r="13" spans="2:4" ht="20.100000000000001" customHeight="1" x14ac:dyDescent="0.25">
      <c r="B13" s="3" t="s">
        <v>80</v>
      </c>
      <c r="D13" s="46" t="s">
        <v>116</v>
      </c>
    </row>
    <row r="14" spans="2:4" ht="20.100000000000001" customHeight="1" x14ac:dyDescent="0.25">
      <c r="B14" s="3" t="s">
        <v>81</v>
      </c>
      <c r="D14" s="46" t="s">
        <v>117</v>
      </c>
    </row>
    <row r="15" spans="2:4" ht="20.100000000000001" customHeight="1" x14ac:dyDescent="0.25">
      <c r="B15" s="47" t="s">
        <v>82</v>
      </c>
      <c r="D15" s="46" t="s">
        <v>118</v>
      </c>
    </row>
    <row r="16" spans="2:4" ht="20.100000000000001" customHeight="1" x14ac:dyDescent="0.25">
      <c r="B16" s="3" t="s">
        <v>83</v>
      </c>
      <c r="D16" s="46" t="s">
        <v>119</v>
      </c>
    </row>
    <row r="17" spans="2:4" ht="20.100000000000001" customHeight="1" x14ac:dyDescent="0.25">
      <c r="B17" s="3" t="s">
        <v>84</v>
      </c>
      <c r="D17" s="46" t="s">
        <v>120</v>
      </c>
    </row>
    <row r="18" spans="2:4" ht="20.100000000000001" customHeight="1" x14ac:dyDescent="0.25">
      <c r="B18" s="47" t="s">
        <v>85</v>
      </c>
      <c r="D18" s="46" t="s">
        <v>121</v>
      </c>
    </row>
    <row r="19" spans="2:4" ht="20.100000000000001" customHeight="1" x14ac:dyDescent="0.25">
      <c r="B19" s="47" t="s">
        <v>86</v>
      </c>
      <c r="D19" s="46" t="s">
        <v>122</v>
      </c>
    </row>
    <row r="20" spans="2:4" ht="20.100000000000001" customHeight="1" x14ac:dyDescent="0.25">
      <c r="B20" s="48" t="s">
        <v>87</v>
      </c>
      <c r="D20" s="46" t="s">
        <v>123</v>
      </c>
    </row>
    <row r="21" spans="2:4" ht="20.100000000000001" customHeight="1" x14ac:dyDescent="0.25">
      <c r="B21" s="47" t="s">
        <v>88</v>
      </c>
      <c r="D21" s="46" t="s">
        <v>124</v>
      </c>
    </row>
    <row r="22" spans="2:4" ht="20.100000000000001" customHeight="1" x14ac:dyDescent="0.25">
      <c r="B22" s="47" t="s">
        <v>89</v>
      </c>
      <c r="D22" s="46" t="s">
        <v>125</v>
      </c>
    </row>
    <row r="23" spans="2:4" ht="20.100000000000001" customHeight="1" x14ac:dyDescent="0.25">
      <c r="B23" s="47" t="s">
        <v>90</v>
      </c>
      <c r="D23" s="46" t="s">
        <v>126</v>
      </c>
    </row>
    <row r="24" spans="2:4" ht="20.100000000000001" customHeight="1" x14ac:dyDescent="0.25">
      <c r="B24" s="48" t="s">
        <v>91</v>
      </c>
      <c r="D24" s="46" t="s">
        <v>127</v>
      </c>
    </row>
    <row r="25" spans="2:4" ht="20.100000000000001" customHeight="1" x14ac:dyDescent="0.25">
      <c r="B25" s="48" t="s">
        <v>92</v>
      </c>
      <c r="D25" s="46" t="s">
        <v>128</v>
      </c>
    </row>
    <row r="26" spans="2:4" ht="20.100000000000001" customHeight="1" x14ac:dyDescent="0.25">
      <c r="B26" s="3" t="s">
        <v>93</v>
      </c>
      <c r="D26" s="46" t="s">
        <v>129</v>
      </c>
    </row>
    <row r="27" spans="2:4" ht="20.100000000000001" customHeight="1" x14ac:dyDescent="0.25">
      <c r="B27" s="3" t="s">
        <v>94</v>
      </c>
      <c r="D27" s="49" t="s">
        <v>130</v>
      </c>
    </row>
    <row r="28" spans="2:4" ht="20.100000000000001" customHeight="1" x14ac:dyDescent="0.25">
      <c r="B28" s="3" t="s">
        <v>95</v>
      </c>
    </row>
    <row r="29" spans="2:4" ht="20.100000000000001" customHeight="1" x14ac:dyDescent="0.25">
      <c r="B29" s="47" t="s">
        <v>3</v>
      </c>
    </row>
    <row r="30" spans="2:4" ht="20.100000000000001" customHeight="1" x14ac:dyDescent="0.25">
      <c r="B30" s="47" t="s">
        <v>96</v>
      </c>
    </row>
    <row r="31" spans="2:4" ht="20.100000000000001" customHeight="1" x14ac:dyDescent="0.25">
      <c r="B31" s="3" t="s">
        <v>97</v>
      </c>
    </row>
    <row r="32" spans="2:4" ht="20.100000000000001" customHeight="1" x14ac:dyDescent="0.25">
      <c r="B32" s="47" t="s">
        <v>98</v>
      </c>
    </row>
    <row r="33" spans="2:2" ht="20.100000000000001" customHeight="1" x14ac:dyDescent="0.25">
      <c r="B33" s="3" t="s">
        <v>99</v>
      </c>
    </row>
    <row r="34" spans="2:2" ht="20.100000000000001" customHeight="1" x14ac:dyDescent="0.25">
      <c r="B34" s="3" t="s">
        <v>100</v>
      </c>
    </row>
    <row r="35" spans="2:2" ht="20.100000000000001" customHeight="1" x14ac:dyDescent="0.25">
      <c r="B35" s="47" t="s">
        <v>101</v>
      </c>
    </row>
    <row r="36" spans="2:2" ht="20.100000000000001" customHeight="1" x14ac:dyDescent="0.25">
      <c r="B36" s="47" t="s">
        <v>102</v>
      </c>
    </row>
    <row r="37" spans="2:2" ht="20.100000000000001" customHeight="1" x14ac:dyDescent="0.25">
      <c r="B37" s="3" t="s">
        <v>103</v>
      </c>
    </row>
    <row r="38" spans="2:2" ht="20.100000000000001" customHeight="1" x14ac:dyDescent="0.25">
      <c r="B38" s="3" t="s">
        <v>104</v>
      </c>
    </row>
    <row r="39" spans="2:2" ht="20.100000000000001" customHeight="1" x14ac:dyDescent="0.25">
      <c r="B39" s="48" t="s">
        <v>105</v>
      </c>
    </row>
    <row r="40" spans="2:2" ht="20.100000000000001" customHeight="1" x14ac:dyDescent="0.25">
      <c r="B40" s="3"/>
    </row>
    <row r="41" spans="2:2" ht="20.100000000000001" customHeight="1" x14ac:dyDescent="0.25">
      <c r="B41" s="3"/>
    </row>
    <row r="42" spans="2:2" ht="20.100000000000001" customHeight="1" x14ac:dyDescent="0.25">
      <c r="B42" s="3"/>
    </row>
    <row r="43" spans="2:2" ht="20.100000000000001" customHeight="1" x14ac:dyDescent="0.25">
      <c r="B43" s="3"/>
    </row>
    <row r="44" spans="2:2" ht="20.100000000000001" customHeight="1" x14ac:dyDescent="0.25">
      <c r="B44" s="4"/>
    </row>
    <row r="45" spans="2:2" ht="20.100000000000001" customHeight="1" x14ac:dyDescent="0.25">
      <c r="B45" s="4"/>
    </row>
    <row r="46" spans="2:2" ht="20.100000000000001" customHeight="1" x14ac:dyDescent="0.25">
      <c r="B46" s="4"/>
    </row>
    <row r="47" spans="2:2" ht="20.100000000000001" customHeight="1" x14ac:dyDescent="0.25">
      <c r="B47" s="4"/>
    </row>
    <row r="48" spans="2:2" ht="20.100000000000001" customHeight="1" x14ac:dyDescent="0.25">
      <c r="B48" s="4"/>
    </row>
    <row r="49" spans="2:2" ht="20.100000000000001" customHeight="1" x14ac:dyDescent="0.25">
      <c r="B49" s="4"/>
    </row>
  </sheetData>
  <pageMargins left="0.7" right="0.7" top="0.75" bottom="0.75" header="0.3" footer="0.3"/>
  <pageSetup orientation="portrait" verticalDpi="0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Instruction</vt:lpstr>
      <vt:lpstr>Master</vt:lpstr>
      <vt:lpstr>GA 55 Editable</vt:lpstr>
      <vt:lpstr>Other Ded.</vt:lpstr>
      <vt:lpstr>Summary</vt:lpstr>
      <vt:lpstr>GA 55 For Print</vt:lpstr>
      <vt:lpstr>Tax Calculaton Old</vt:lpstr>
      <vt:lpstr>Tax Calculaton New</vt:lpstr>
      <vt:lpstr>Post at Office</vt:lpstr>
      <vt:lpstr>payLevel</vt:lpstr>
      <vt:lpstr>PostAtOffice</vt:lpstr>
      <vt:lpstr>'GA 55 Editable'!Print_Area</vt:lpstr>
      <vt:lpstr>'GA 55 For Print'!Print_Area</vt:lpstr>
      <vt:lpstr>Master!Print_Area</vt:lpstr>
      <vt:lpstr>'Other Ded.'!Print_Area</vt:lpstr>
      <vt:lpstr>'Tax Calculaton New'!Print_Area</vt:lpstr>
      <vt:lpstr>'Tax Calculaton Old'!Print_Area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2020-12-17T14:30:16Z</cp:lastPrinted>
  <dcterms:created xsi:type="dcterms:W3CDTF">2020-12-13T02:33:34Z</dcterms:created>
  <dcterms:modified xsi:type="dcterms:W3CDTF">2020-12-17T14:30:27Z</dcterms:modified>
</cp:coreProperties>
</file>